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177040" algorithmName="SHA-512" hashValue="5BGCJeBu9ylwAGkXdtnKpoAGeKxHh4jcq+lyi3KECsVEGW27ot5/EAFaovtsZsqoK+XDo97kwHTLTYbFizW4BQ==" saltValue="F4zFQRe1Vk2w+41fVzhU2A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ERC\FORMULA RATES\AEP West Transmission Formula Rates\AEP West 2019 Annual Update\Filing 5-28-19 Op Cos\"/>
    </mc:Choice>
  </mc:AlternateContent>
  <bookViews>
    <workbookView xWindow="0" yWindow="0" windowWidth="24000" windowHeight="9000"/>
  </bookViews>
  <sheets>
    <sheet name="SWEPCO Base Plan Refund" sheetId="1" r:id="rId1"/>
    <sheet name="2017 Refund" sheetId="2" r:id="rId2"/>
    <sheet name="2017 Interest Calculation" sheetId="3" r:id="rId3"/>
    <sheet name="Sheet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E78" i="1"/>
  <c r="G72" i="2"/>
  <c r="H72" i="2" s="1"/>
  <c r="G75" i="2"/>
  <c r="H75" i="2" s="1"/>
  <c r="G71" i="2"/>
  <c r="H71" i="2" s="1"/>
  <c r="G67" i="2"/>
  <c r="H67" i="2" s="1"/>
  <c r="G66" i="2"/>
  <c r="H66" i="2" s="1"/>
  <c r="G63" i="2"/>
  <c r="H63" i="2" s="1"/>
  <c r="G62" i="2"/>
  <c r="H62" i="2" s="1"/>
  <c r="G59" i="2"/>
  <c r="H59" i="2" s="1"/>
  <c r="G58" i="2"/>
  <c r="H58" i="2" s="1"/>
  <c r="G55" i="2"/>
  <c r="H55" i="2" s="1"/>
  <c r="G54" i="2"/>
  <c r="H54" i="2" s="1"/>
  <c r="G51" i="2"/>
  <c r="H51" i="2" s="1"/>
  <c r="G50" i="2"/>
  <c r="H50" i="2" s="1"/>
  <c r="G47" i="2"/>
  <c r="H47" i="2" s="1"/>
  <c r="G46" i="2"/>
  <c r="H46" i="2" s="1"/>
  <c r="G43" i="2"/>
  <c r="H43" i="2" s="1"/>
  <c r="G42" i="2"/>
  <c r="H42" i="2" s="1"/>
  <c r="G39" i="2"/>
  <c r="H39" i="2" s="1"/>
  <c r="G38" i="2"/>
  <c r="H38" i="2" s="1"/>
  <c r="G35" i="2"/>
  <c r="H35" i="2" s="1"/>
  <c r="G34" i="2"/>
  <c r="H34" i="2" s="1"/>
  <c r="G31" i="2"/>
  <c r="H31" i="2" s="1"/>
  <c r="G30" i="2"/>
  <c r="H30" i="2" s="1"/>
  <c r="G74" i="2"/>
  <c r="H74" i="2" s="1"/>
  <c r="G73" i="2"/>
  <c r="H73" i="2" s="1"/>
  <c r="G70" i="2"/>
  <c r="H70" i="2" s="1"/>
  <c r="G65" i="2"/>
  <c r="H65" i="2" s="1"/>
  <c r="G61" i="2"/>
  <c r="H61" i="2" s="1"/>
  <c r="G57" i="2"/>
  <c r="H57" i="2" s="1"/>
  <c r="G53" i="2"/>
  <c r="H53" i="2" s="1"/>
  <c r="G49" i="2"/>
  <c r="H49" i="2" s="1"/>
  <c r="G45" i="2"/>
  <c r="H45" i="2" s="1"/>
  <c r="G41" i="2"/>
  <c r="H41" i="2" s="1"/>
  <c r="G37" i="2"/>
  <c r="H37" i="2" s="1"/>
  <c r="G33" i="2"/>
  <c r="H33" i="2" s="1"/>
  <c r="G29" i="2"/>
  <c r="H29" i="2" s="1"/>
  <c r="G26" i="2"/>
  <c r="H26" i="2" s="1"/>
  <c r="G27" i="2"/>
  <c r="H27" i="2" s="1"/>
  <c r="G23" i="2"/>
  <c r="H23" i="2" s="1"/>
  <c r="G32" i="2" l="1"/>
  <c r="H32" i="2" s="1"/>
  <c r="G36" i="2"/>
  <c r="H36" i="2" s="1"/>
  <c r="G40" i="2"/>
  <c r="H40" i="2" s="1"/>
  <c r="G44" i="2"/>
  <c r="H44" i="2" s="1"/>
  <c r="G48" i="2"/>
  <c r="H48" i="2" s="1"/>
  <c r="G52" i="2"/>
  <c r="H52" i="2" s="1"/>
  <c r="G56" i="2"/>
  <c r="H56" i="2" s="1"/>
  <c r="G60" i="2"/>
  <c r="H60" i="2" s="1"/>
  <c r="G64" i="2"/>
  <c r="H64" i="2" s="1"/>
  <c r="G68" i="2"/>
  <c r="H68" i="2" s="1"/>
  <c r="G25" i="2"/>
  <c r="H25" i="2" s="1"/>
  <c r="G69" i="2"/>
  <c r="H69" i="2" s="1"/>
  <c r="G24" i="2"/>
  <c r="H24" i="2" s="1"/>
  <c r="G28" i="2"/>
  <c r="H28" i="2" s="1"/>
  <c r="F79" i="2"/>
  <c r="E79" i="2"/>
  <c r="B69" i="3"/>
  <c r="B68" i="3"/>
  <c r="B67" i="3"/>
  <c r="B66" i="3"/>
  <c r="B65" i="3"/>
  <c r="B64" i="3"/>
  <c r="B63" i="3"/>
  <c r="B62" i="3"/>
  <c r="B61" i="3"/>
  <c r="B60" i="3"/>
  <c r="B59" i="3"/>
  <c r="B58" i="3"/>
  <c r="B26" i="3"/>
  <c r="B25" i="3"/>
  <c r="B24" i="3"/>
  <c r="B23" i="3"/>
  <c r="B22" i="3"/>
  <c r="B21" i="3"/>
  <c r="H20" i="3"/>
  <c r="F20" i="3"/>
  <c r="B20" i="3"/>
  <c r="J9" i="3"/>
  <c r="B39" i="3" s="1"/>
  <c r="B29" i="3" l="1"/>
  <c r="J20" i="3"/>
  <c r="N20" i="3" s="1"/>
  <c r="H22" i="3" s="1"/>
  <c r="B33" i="3"/>
  <c r="H23" i="3"/>
  <c r="B37" i="3"/>
  <c r="J10" i="3"/>
  <c r="H21" i="3"/>
  <c r="B30" i="3"/>
  <c r="B34" i="3"/>
  <c r="B38" i="3"/>
  <c r="B32" i="3"/>
  <c r="B36" i="3"/>
  <c r="B40" i="3"/>
  <c r="B31" i="3"/>
  <c r="B35" i="3"/>
  <c r="B53" i="3" l="1"/>
  <c r="B49" i="3"/>
  <c r="B45" i="3"/>
  <c r="B54" i="3"/>
  <c r="B50" i="3"/>
  <c r="B46" i="3"/>
  <c r="B51" i="3"/>
  <c r="B47" i="3"/>
  <c r="B43" i="3"/>
  <c r="B52" i="3"/>
  <c r="B48" i="3"/>
  <c r="B44" i="3"/>
  <c r="G16" i="2" l="1"/>
  <c r="H16" i="2" s="1"/>
  <c r="G20" i="2"/>
  <c r="H20" i="2" s="1"/>
  <c r="G19" i="2"/>
  <c r="H19" i="2" s="1"/>
  <c r="G15" i="2"/>
  <c r="H15" i="2" s="1"/>
  <c r="G12" i="2"/>
  <c r="H12" i="2" s="1"/>
  <c r="G11" i="2"/>
  <c r="H11" i="2" s="1"/>
  <c r="G8" i="2"/>
  <c r="H8" i="2" s="1"/>
  <c r="G7" i="2"/>
  <c r="H7" i="2" s="1"/>
  <c r="G22" i="2"/>
  <c r="H22" i="2" s="1"/>
  <c r="G21" i="2"/>
  <c r="H21" i="2" s="1"/>
  <c r="G18" i="2"/>
  <c r="H18" i="2" s="1"/>
  <c r="G17" i="2"/>
  <c r="H17" i="2" s="1"/>
  <c r="G14" i="2"/>
  <c r="H14" i="2" s="1"/>
  <c r="G13" i="2"/>
  <c r="H13" i="2" s="1"/>
  <c r="G10" i="2"/>
  <c r="H10" i="2" s="1"/>
  <c r="G9" i="2"/>
  <c r="H9" i="2" s="1"/>
  <c r="G6" i="2"/>
  <c r="H6" i="2" s="1"/>
  <c r="G5" i="2"/>
  <c r="G79" i="2" l="1"/>
  <c r="H5" i="2"/>
  <c r="H79" i="2" s="1"/>
  <c r="F10" i="3" l="1"/>
  <c r="D23" i="3" s="1"/>
  <c r="D26" i="3" l="1"/>
  <c r="P73" i="3"/>
  <c r="D25" i="3"/>
  <c r="D24" i="3"/>
  <c r="D22" i="3"/>
  <c r="D20" i="3"/>
  <c r="F21" i="3" s="1"/>
  <c r="J21" i="3" s="1"/>
  <c r="N21" i="3" s="1"/>
  <c r="D21" i="3"/>
  <c r="F22" i="3" l="1"/>
  <c r="J22" i="3" s="1"/>
  <c r="N22" i="3" s="1"/>
  <c r="R22" i="3" s="1"/>
  <c r="R20" i="3"/>
  <c r="R21" i="3"/>
  <c r="F23" i="3" l="1"/>
  <c r="J23" i="3" s="1"/>
  <c r="N23" i="3" s="1"/>
  <c r="F24" i="3"/>
  <c r="F25" i="3" s="1"/>
  <c r="F26" i="3" s="1"/>
  <c r="H26" i="3"/>
  <c r="H25" i="3"/>
  <c r="H24" i="3"/>
  <c r="R23" i="3"/>
  <c r="J24" i="3" l="1"/>
  <c r="N24" i="3" s="1"/>
  <c r="R24" i="3" s="1"/>
  <c r="J25" i="3"/>
  <c r="N25" i="3" s="1"/>
  <c r="R25" i="3" s="1"/>
  <c r="J26" i="3"/>
  <c r="N26" i="3" s="1"/>
  <c r="H29" i="3" s="1"/>
  <c r="F29" i="3"/>
  <c r="H31" i="3" l="1"/>
  <c r="H45" i="3"/>
  <c r="H30" i="3"/>
  <c r="J29" i="3"/>
  <c r="N29" i="3" s="1"/>
  <c r="R29" i="3" s="1"/>
  <c r="F30" i="3"/>
  <c r="H44" i="3"/>
  <c r="R26" i="3"/>
  <c r="H43" i="3"/>
  <c r="F31" i="3" l="1"/>
  <c r="J30" i="3"/>
  <c r="N30" i="3" s="1"/>
  <c r="R30" i="3" l="1"/>
  <c r="F32" i="3"/>
  <c r="J31" i="3"/>
  <c r="N31" i="3" s="1"/>
  <c r="H32" i="3" s="1"/>
  <c r="H34" i="3" l="1"/>
  <c r="H48" i="3"/>
  <c r="R31" i="3"/>
  <c r="H47" i="3"/>
  <c r="H46" i="3"/>
  <c r="J32" i="3"/>
  <c r="N32" i="3" s="1"/>
  <c r="R32" i="3" s="1"/>
  <c r="F33" i="3"/>
  <c r="H33" i="3"/>
  <c r="J33" i="3" l="1"/>
  <c r="N33" i="3" s="1"/>
  <c r="F34" i="3"/>
  <c r="F35" i="3" l="1"/>
  <c r="F36" i="3" s="1"/>
  <c r="J34" i="3"/>
  <c r="N34" i="3" s="1"/>
  <c r="H37" i="3" s="1"/>
  <c r="R33" i="3"/>
  <c r="H49" i="3" l="1"/>
  <c r="H51" i="3"/>
  <c r="H36" i="3"/>
  <c r="J36" i="3" s="1"/>
  <c r="N36" i="3" s="1"/>
  <c r="R34" i="3"/>
  <c r="H35" i="3"/>
  <c r="J35" i="3" s="1"/>
  <c r="N35" i="3" s="1"/>
  <c r="R35" i="3" s="1"/>
  <c r="H50" i="3"/>
  <c r="F37" i="3"/>
  <c r="R36" i="3" l="1"/>
  <c r="J37" i="3"/>
  <c r="N37" i="3" s="1"/>
  <c r="F38" i="3"/>
  <c r="F39" i="3" s="1"/>
  <c r="F40" i="3" l="1"/>
  <c r="R37" i="3"/>
  <c r="H54" i="3"/>
  <c r="H40" i="3"/>
  <c r="H39" i="3"/>
  <c r="J39" i="3" s="1"/>
  <c r="N39" i="3" s="1"/>
  <c r="H52" i="3"/>
  <c r="H53" i="3"/>
  <c r="H38" i="3"/>
  <c r="J38" i="3" s="1"/>
  <c r="N38" i="3" s="1"/>
  <c r="R38" i="3" s="1"/>
  <c r="R39" i="3" l="1"/>
  <c r="F58" i="3"/>
  <c r="J40" i="3"/>
  <c r="N40" i="3" s="1"/>
  <c r="H58" i="3" s="1"/>
  <c r="F43" i="3"/>
  <c r="F44" i="3" l="1"/>
  <c r="J43" i="3"/>
  <c r="N43" i="3" s="1"/>
  <c r="R43" i="3" s="1"/>
  <c r="H59" i="3"/>
  <c r="R40" i="3"/>
  <c r="H60" i="3"/>
  <c r="J58" i="3"/>
  <c r="N58" i="3" s="1"/>
  <c r="F59" i="3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P60" i="3" l="1"/>
  <c r="P59" i="3"/>
  <c r="P69" i="3"/>
  <c r="P66" i="3"/>
  <c r="P63" i="3"/>
  <c r="P68" i="3"/>
  <c r="P67" i="3"/>
  <c r="P58" i="3"/>
  <c r="P62" i="3"/>
  <c r="P65" i="3"/>
  <c r="P64" i="3"/>
  <c r="P61" i="3"/>
  <c r="F45" i="3"/>
  <c r="J44" i="3"/>
  <c r="N44" i="3" s="1"/>
  <c r="R44" i="3" s="1"/>
  <c r="P72" i="3" l="1"/>
  <c r="P74" i="3" s="1"/>
  <c r="I79" i="2" s="1"/>
  <c r="F46" i="3"/>
  <c r="J45" i="3"/>
  <c r="N45" i="3" s="1"/>
  <c r="R45" i="3" s="1"/>
  <c r="I44" i="2" l="1"/>
  <c r="J44" i="2" s="1"/>
  <c r="G44" i="1" s="1"/>
  <c r="H44" i="1" s="1"/>
  <c r="I32" i="2"/>
  <c r="J32" i="2" s="1"/>
  <c r="G32" i="1" s="1"/>
  <c r="H32" i="1" s="1"/>
  <c r="I64" i="2"/>
  <c r="J64" i="2" s="1"/>
  <c r="G64" i="1" s="1"/>
  <c r="H64" i="1" s="1"/>
  <c r="I53" i="2"/>
  <c r="J53" i="2" s="1"/>
  <c r="G53" i="1" s="1"/>
  <c r="H53" i="1" s="1"/>
  <c r="I42" i="2"/>
  <c r="J42" i="2" s="1"/>
  <c r="G42" i="1" s="1"/>
  <c r="H42" i="1" s="1"/>
  <c r="I74" i="2"/>
  <c r="J74" i="2" s="1"/>
  <c r="G74" i="1" s="1"/>
  <c r="H74" i="1" s="1"/>
  <c r="I51" i="2"/>
  <c r="J51" i="2" s="1"/>
  <c r="G51" i="1" s="1"/>
  <c r="H51" i="1" s="1"/>
  <c r="I36" i="2"/>
  <c r="J36" i="2" s="1"/>
  <c r="G36" i="1" s="1"/>
  <c r="H36" i="1" s="1"/>
  <c r="I41" i="2"/>
  <c r="J41" i="2" s="1"/>
  <c r="G41" i="1" s="1"/>
  <c r="H41" i="1" s="1"/>
  <c r="I46" i="2"/>
  <c r="J46" i="2" s="1"/>
  <c r="G46" i="1" s="1"/>
  <c r="H46" i="1" s="1"/>
  <c r="I68" i="2"/>
  <c r="J68" i="2" s="1"/>
  <c r="G68" i="1" s="1"/>
  <c r="H68" i="1" s="1"/>
  <c r="I55" i="2"/>
  <c r="J55" i="2" s="1"/>
  <c r="G55" i="1" s="1"/>
  <c r="H55" i="1" s="1"/>
  <c r="I48" i="2"/>
  <c r="J48" i="2" s="1"/>
  <c r="G48" i="1" s="1"/>
  <c r="H48" i="1" s="1"/>
  <c r="I73" i="2"/>
  <c r="J73" i="2" s="1"/>
  <c r="G73" i="1" s="1"/>
  <c r="H73" i="1" s="1"/>
  <c r="I58" i="2"/>
  <c r="J58" i="2" s="1"/>
  <c r="G58" i="1" s="1"/>
  <c r="H58" i="1" s="1"/>
  <c r="I67" i="2"/>
  <c r="J67" i="2" s="1"/>
  <c r="G67" i="1" s="1"/>
  <c r="H67" i="1" s="1"/>
  <c r="I65" i="2"/>
  <c r="J65" i="2" s="1"/>
  <c r="G65" i="1" s="1"/>
  <c r="H65" i="1" s="1"/>
  <c r="I71" i="2"/>
  <c r="J71" i="2" s="1"/>
  <c r="G71" i="1" s="1"/>
  <c r="H71" i="1" s="1"/>
  <c r="I30" i="2"/>
  <c r="J30" i="2" s="1"/>
  <c r="G30" i="1" s="1"/>
  <c r="H30" i="1" s="1"/>
  <c r="I34" i="2"/>
  <c r="J34" i="2" s="1"/>
  <c r="G34" i="1" s="1"/>
  <c r="H34" i="1" s="1"/>
  <c r="I43" i="2"/>
  <c r="J43" i="2" s="1"/>
  <c r="G43" i="1" s="1"/>
  <c r="H43" i="1" s="1"/>
  <c r="I72" i="2"/>
  <c r="J72" i="2" s="1"/>
  <c r="G72" i="1" s="1"/>
  <c r="H72" i="1" s="1"/>
  <c r="I70" i="2"/>
  <c r="J70" i="2" s="1"/>
  <c r="G70" i="1" s="1"/>
  <c r="H70" i="1" s="1"/>
  <c r="I33" i="2"/>
  <c r="J33" i="2" s="1"/>
  <c r="G33" i="1" s="1"/>
  <c r="H33" i="1" s="1"/>
  <c r="I40" i="2"/>
  <c r="J40" i="2" s="1"/>
  <c r="G40" i="1" s="1"/>
  <c r="H40" i="1" s="1"/>
  <c r="I29" i="2"/>
  <c r="J29" i="2" s="1"/>
  <c r="G29" i="1" s="1"/>
  <c r="H29" i="1" s="1"/>
  <c r="I61" i="2"/>
  <c r="J61" i="2" s="1"/>
  <c r="G61" i="1" s="1"/>
  <c r="H61" i="1" s="1"/>
  <c r="I50" i="2"/>
  <c r="J50" i="2" s="1"/>
  <c r="G50" i="1" s="1"/>
  <c r="H50" i="1" s="1"/>
  <c r="I69" i="2"/>
  <c r="J69" i="2" s="1"/>
  <c r="G69" i="1" s="1"/>
  <c r="H69" i="1" s="1"/>
  <c r="I59" i="2"/>
  <c r="J59" i="2" s="1"/>
  <c r="G59" i="1" s="1"/>
  <c r="H59" i="1" s="1"/>
  <c r="I52" i="2"/>
  <c r="J52" i="2" s="1"/>
  <c r="G52" i="1" s="1"/>
  <c r="H52" i="1" s="1"/>
  <c r="I49" i="2"/>
  <c r="J49" i="2" s="1"/>
  <c r="G49" i="1" s="1"/>
  <c r="H49" i="1" s="1"/>
  <c r="I54" i="2"/>
  <c r="J54" i="2" s="1"/>
  <c r="G54" i="1" s="1"/>
  <c r="H54" i="1" s="1"/>
  <c r="I31" i="2"/>
  <c r="J31" i="2" s="1"/>
  <c r="G31" i="1" s="1"/>
  <c r="H31" i="1" s="1"/>
  <c r="I63" i="2"/>
  <c r="J63" i="2" s="1"/>
  <c r="G63" i="1" s="1"/>
  <c r="H63" i="1" s="1"/>
  <c r="I57" i="2"/>
  <c r="J57" i="2" s="1"/>
  <c r="G57" i="1" s="1"/>
  <c r="H57" i="1" s="1"/>
  <c r="I37" i="2"/>
  <c r="J37" i="2" s="1"/>
  <c r="G37" i="1" s="1"/>
  <c r="H37" i="1" s="1"/>
  <c r="I35" i="2"/>
  <c r="J35" i="2" s="1"/>
  <c r="G35" i="1" s="1"/>
  <c r="H35" i="1" s="1"/>
  <c r="I60" i="2"/>
  <c r="J60" i="2" s="1"/>
  <c r="G60" i="1" s="1"/>
  <c r="H60" i="1" s="1"/>
  <c r="I62" i="2"/>
  <c r="J62" i="2" s="1"/>
  <c r="G62" i="1" s="1"/>
  <c r="H62" i="1" s="1"/>
  <c r="I39" i="2"/>
  <c r="J39" i="2" s="1"/>
  <c r="G39" i="1" s="1"/>
  <c r="H39" i="1" s="1"/>
  <c r="I56" i="2"/>
  <c r="J56" i="2" s="1"/>
  <c r="G56" i="1" s="1"/>
  <c r="H56" i="1" s="1"/>
  <c r="I45" i="2"/>
  <c r="J45" i="2" s="1"/>
  <c r="G45" i="1" s="1"/>
  <c r="H45" i="1" s="1"/>
  <c r="I66" i="2"/>
  <c r="J66" i="2" s="1"/>
  <c r="G66" i="1" s="1"/>
  <c r="H66" i="1" s="1"/>
  <c r="I75" i="2"/>
  <c r="J75" i="2" s="1"/>
  <c r="G75" i="1" s="1"/>
  <c r="H75" i="1" s="1"/>
  <c r="I38" i="2"/>
  <c r="J38" i="2" s="1"/>
  <c r="G38" i="1" s="1"/>
  <c r="H38" i="1" s="1"/>
  <c r="I47" i="2"/>
  <c r="J47" i="2" s="1"/>
  <c r="G47" i="1" s="1"/>
  <c r="H47" i="1" s="1"/>
  <c r="I26" i="2"/>
  <c r="J26" i="2" s="1"/>
  <c r="G26" i="1" s="1"/>
  <c r="H26" i="1" s="1"/>
  <c r="I25" i="2"/>
  <c r="J25" i="2" s="1"/>
  <c r="G25" i="1" s="1"/>
  <c r="H25" i="1" s="1"/>
  <c r="I27" i="2"/>
  <c r="J27" i="2" s="1"/>
  <c r="G27" i="1" s="1"/>
  <c r="H27" i="1" s="1"/>
  <c r="I23" i="2"/>
  <c r="J23" i="2" s="1"/>
  <c r="G23" i="1" s="1"/>
  <c r="I28" i="2"/>
  <c r="J28" i="2" s="1"/>
  <c r="G28" i="1" s="1"/>
  <c r="H28" i="1" s="1"/>
  <c r="I24" i="2"/>
  <c r="J24" i="2" s="1"/>
  <c r="G24" i="1" s="1"/>
  <c r="H24" i="1" s="1"/>
  <c r="F47" i="3"/>
  <c r="J46" i="3"/>
  <c r="N46" i="3" s="1"/>
  <c r="R46" i="3" l="1"/>
  <c r="F48" i="3"/>
  <c r="J47" i="3"/>
  <c r="N47" i="3" s="1"/>
  <c r="R47" i="3" s="1"/>
  <c r="J48" i="3" l="1"/>
  <c r="N48" i="3" s="1"/>
  <c r="F49" i="3"/>
  <c r="F50" i="3" l="1"/>
  <c r="J49" i="3"/>
  <c r="N49" i="3" s="1"/>
  <c r="R49" i="3" s="1"/>
  <c r="R48" i="3"/>
  <c r="J50" i="3" l="1"/>
  <c r="N50" i="3" s="1"/>
  <c r="R50" i="3" s="1"/>
  <c r="F51" i="3"/>
  <c r="J51" i="3" l="1"/>
  <c r="N51" i="3" s="1"/>
  <c r="R51" i="3" s="1"/>
  <c r="F52" i="3"/>
  <c r="J52" i="3" l="1"/>
  <c r="N52" i="3" s="1"/>
  <c r="R52" i="3" s="1"/>
  <c r="F53" i="3"/>
  <c r="J53" i="3" l="1"/>
  <c r="N53" i="3" s="1"/>
  <c r="R53" i="3" s="1"/>
  <c r="F54" i="3"/>
  <c r="J54" i="3" s="1"/>
  <c r="N54" i="3" s="1"/>
  <c r="R54" i="3" l="1"/>
  <c r="R58" i="3"/>
  <c r="J59" i="3" s="1"/>
  <c r="N59" i="3" s="1"/>
  <c r="R59" i="3" l="1"/>
  <c r="J60" i="3" s="1"/>
  <c r="N60" i="3" s="1"/>
  <c r="R60" i="3" s="1"/>
  <c r="J61" i="3" s="1"/>
  <c r="N61" i="3" s="1"/>
  <c r="R61" i="3" s="1"/>
  <c r="J62" i="3" s="1"/>
  <c r="N62" i="3" s="1"/>
  <c r="R62" i="3" s="1"/>
  <c r="J63" i="3" s="1"/>
  <c r="N63" i="3" s="1"/>
  <c r="R63" i="3" s="1"/>
  <c r="J64" i="3" s="1"/>
  <c r="N64" i="3" s="1"/>
  <c r="R64" i="3" s="1"/>
  <c r="J65" i="3" s="1"/>
  <c r="N65" i="3" s="1"/>
  <c r="R65" i="3" s="1"/>
  <c r="J66" i="3" s="1"/>
  <c r="N66" i="3" s="1"/>
  <c r="R66" i="3" s="1"/>
  <c r="J67" i="3" s="1"/>
  <c r="N67" i="3" s="1"/>
  <c r="R67" i="3" s="1"/>
  <c r="J68" i="3" s="1"/>
  <c r="N68" i="3" s="1"/>
  <c r="R68" i="3" s="1"/>
  <c r="J69" i="3" s="1"/>
  <c r="N69" i="3" s="1"/>
  <c r="R69" i="3" s="1"/>
  <c r="H62" i="3" l="1"/>
  <c r="H63" i="3"/>
  <c r="H65" i="3" s="1"/>
  <c r="H61" i="3"/>
  <c r="H66" i="3" l="1"/>
  <c r="H67" i="3" s="1"/>
  <c r="H64" i="3"/>
  <c r="H69" i="3" l="1"/>
  <c r="H68" i="3"/>
  <c r="H23" i="1" l="1"/>
  <c r="I5" i="2" l="1"/>
  <c r="J5" i="2" s="1"/>
  <c r="I6" i="2"/>
  <c r="J6" i="2" s="1"/>
  <c r="G6" i="1" s="1"/>
  <c r="H6" i="1" s="1"/>
  <c r="I7" i="2"/>
  <c r="J7" i="2" s="1"/>
  <c r="G7" i="1" s="1"/>
  <c r="H7" i="1" s="1"/>
  <c r="I8" i="2"/>
  <c r="J8" i="2" s="1"/>
  <c r="G8" i="1" s="1"/>
  <c r="H8" i="1" s="1"/>
  <c r="I9" i="2"/>
  <c r="J9" i="2" s="1"/>
  <c r="G9" i="1" s="1"/>
  <c r="H9" i="1" s="1"/>
  <c r="I10" i="2"/>
  <c r="J10" i="2" s="1"/>
  <c r="G10" i="1" s="1"/>
  <c r="H10" i="1" s="1"/>
  <c r="I11" i="2"/>
  <c r="J11" i="2" s="1"/>
  <c r="G11" i="1" s="1"/>
  <c r="H11" i="1" s="1"/>
  <c r="I12" i="2"/>
  <c r="J12" i="2" s="1"/>
  <c r="G12" i="1" s="1"/>
  <c r="H12" i="1" s="1"/>
  <c r="I13" i="2"/>
  <c r="J13" i="2" s="1"/>
  <c r="G13" i="1" s="1"/>
  <c r="H13" i="1" s="1"/>
  <c r="I14" i="2"/>
  <c r="J14" i="2" s="1"/>
  <c r="G14" i="1" s="1"/>
  <c r="H14" i="1" s="1"/>
  <c r="I15" i="2"/>
  <c r="J15" i="2" s="1"/>
  <c r="G15" i="1" s="1"/>
  <c r="H15" i="1" s="1"/>
  <c r="I16" i="2"/>
  <c r="J16" i="2" s="1"/>
  <c r="G16" i="1" s="1"/>
  <c r="H16" i="1" s="1"/>
  <c r="I17" i="2"/>
  <c r="J17" i="2" s="1"/>
  <c r="G17" i="1" s="1"/>
  <c r="H17" i="1" s="1"/>
  <c r="I18" i="2"/>
  <c r="J18" i="2" s="1"/>
  <c r="G18" i="1" s="1"/>
  <c r="H18" i="1" s="1"/>
  <c r="I19" i="2"/>
  <c r="J19" i="2" s="1"/>
  <c r="G19" i="1" s="1"/>
  <c r="H19" i="1" s="1"/>
  <c r="I20" i="2"/>
  <c r="J20" i="2" s="1"/>
  <c r="G20" i="1" s="1"/>
  <c r="H20" i="1" s="1"/>
  <c r="I21" i="2"/>
  <c r="J21" i="2" s="1"/>
  <c r="G21" i="1" s="1"/>
  <c r="H21" i="1" s="1"/>
  <c r="I22" i="2"/>
  <c r="J22" i="2" s="1"/>
  <c r="G22" i="1" s="1"/>
  <c r="H22" i="1" s="1"/>
  <c r="J79" i="2" l="1"/>
  <c r="G5" i="1"/>
  <c r="G78" i="1" s="1"/>
  <c r="H5" i="1" l="1"/>
  <c r="H78" i="1" s="1"/>
</calcChain>
</file>

<file path=xl/comments1.xml><?xml version="1.0" encoding="utf-8"?>
<comments xmlns="http://schemas.openxmlformats.org/spreadsheetml/2006/main">
  <authors>
    <author>R.Pennybaker</author>
    <author>Author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C15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SPP NTC only allows 94% of this project to be Base Plan.  Therefore, from 2014 Update onward, the indicated ATTR is based upon 94% of actual project investment.
In previous annual Updates, AEP provided 100% investment based ATRR thus SPP only collected 94% of the indicated ATRRs.  
Repeating:  from 2014 Update onward, no scaling is required by SPP as the indicated ATRR is already refelcting the 94% scaler per the original NTC.
</t>
        </r>
      </text>
    </comment>
  </commentList>
</comments>
</file>

<file path=xl/comments2.xml><?xml version="1.0" encoding="utf-8"?>
<comments xmlns="http://schemas.openxmlformats.org/spreadsheetml/2006/main">
  <authors>
    <author>R.Pennybaker</author>
    <author>AEP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C15" authorId="1" shapeId="0">
      <text>
        <r>
          <rPr>
            <b/>
            <sz val="9"/>
            <color indexed="81"/>
            <rFont val="Tahoma"/>
            <family val="2"/>
          </rPr>
          <t xml:space="preserve">AEP:
</t>
        </r>
        <r>
          <rPr>
            <sz val="9"/>
            <color indexed="81"/>
            <rFont val="Tahoma"/>
            <family val="2"/>
          </rPr>
          <t xml:space="preserve">The SPP NTC only allows 94% of this project to be Base Plan.  Therefore, from 2014 Update onward, the indicated ATTR is based upon 94% of actual project investment.
In previous annual Updates, AEP provided 100% investment based ATRR thus SPP only collected 94% of the indicated ATRRs.  
Repeating:  from 2014 Update onward, no scaling is required by SPP as the indicated ATRR is already refelcting the 94% scaler per the original NTC.
</t>
        </r>
      </text>
    </comment>
  </commentList>
</comments>
</file>

<file path=xl/sharedStrings.xml><?xml version="1.0" encoding="utf-8"?>
<sst xmlns="http://schemas.openxmlformats.org/spreadsheetml/2006/main" count="475" uniqueCount="184">
  <si>
    <t>Sheet Name</t>
  </si>
  <si>
    <t>Owner</t>
  </si>
  <si>
    <t>Project Description</t>
  </si>
  <si>
    <t>Year in Service</t>
  </si>
  <si>
    <t>Valliant-NW Texarkana 345 kV</t>
  </si>
  <si>
    <t>2018 ATRR True Up</t>
  </si>
  <si>
    <t>Adjustment 2018 ATRR Tax Resettlement</t>
  </si>
  <si>
    <t xml:space="preserve">Adjustment 2017 ROE </t>
  </si>
  <si>
    <t>Difference</t>
  </si>
  <si>
    <t>ROE 10.5</t>
  </si>
  <si>
    <t>ROE 11.2</t>
  </si>
  <si>
    <t xml:space="preserve">AEP West SPP Member Transmission Companies </t>
  </si>
  <si>
    <t>AEP OKLAHOMA TRANSMISSION COMPANY, INC.</t>
  </si>
  <si>
    <t>True-up Adjustment - Over (Under) Recovery</t>
  </si>
  <si>
    <t>True Up Year:</t>
  </si>
  <si>
    <t xml:space="preserve"> </t>
  </si>
  <si>
    <t>Intermediate Year:</t>
  </si>
  <si>
    <t>Rate Year:</t>
  </si>
  <si>
    <t>Month</t>
  </si>
  <si>
    <t>Refunds/
(Surcharges)</t>
  </si>
  <si>
    <t>Cumulative Refunds/(Surcharges) - Beginning of Month (Without Interest)</t>
  </si>
  <si>
    <t>Base for Quarterly Compound Interest</t>
  </si>
  <si>
    <t>Base for Monthly Interest</t>
  </si>
  <si>
    <t>Monthly Interest Rate (Worksheet Q)</t>
  </si>
  <si>
    <t>Calculated Interest</t>
  </si>
  <si>
    <t>Amortization</t>
  </si>
  <si>
    <t>Cumulative Refunds and Interest - End of Month</t>
  </si>
  <si>
    <t>Calculation of Interest</t>
  </si>
  <si>
    <t>True-Up Year</t>
  </si>
  <si>
    <t>Intermediate Year</t>
  </si>
  <si>
    <t>Over (Under) Recovery Plus Interest Amortized and Recovered Over 12 Months</t>
  </si>
  <si>
    <t>Rate Year</t>
  </si>
  <si>
    <t>True-Up Adjustment with Interest</t>
  </si>
  <si>
    <t>Less Over (Under) Recovery</t>
  </si>
  <si>
    <t>Total Interest</t>
  </si>
  <si>
    <r>
      <rPr>
        <b/>
        <sz val="12"/>
        <rFont val="Arial Narrow"/>
        <family val="2"/>
      </rPr>
      <t>Note 1:</t>
    </r>
    <r>
      <rPr>
        <sz val="12"/>
        <rFont val="Arial Narrow"/>
        <family val="2"/>
      </rPr>
      <t xml:space="preserve">  The monthly interest rates to be applied to the over recovery or under recovery amounts during the true-up year and the intermediate year will be determined using the monthly FERC interest rates (as determined pursuant to 18 C.F.R. Section 35.19a) posted at </t>
    </r>
    <r>
      <rPr>
        <u/>
        <sz val="12"/>
        <rFont val="Arial Narrow"/>
        <family val="2"/>
      </rPr>
      <t>https://www.ferc.gov/enforcement/acct-matts/interest-rates.asp</t>
    </r>
    <r>
      <rPr>
        <sz val="12"/>
        <rFont val="Arial Narrow"/>
        <family val="2"/>
      </rPr>
      <t>.  The monthly interest rate to be applied to the over recovery or under recovery amounts each month during the rate year will equal a simple average of the 12 monthly interest rates for the intermediate year.</t>
    </r>
  </si>
  <si>
    <r>
      <rPr>
        <b/>
        <sz val="12"/>
        <rFont val="Arial Narrow"/>
        <family val="2"/>
      </rPr>
      <t>Note 2:</t>
    </r>
    <r>
      <rPr>
        <sz val="12"/>
        <rFont val="Arial Narrow"/>
        <family val="2"/>
      </rPr>
      <t xml:space="preserve"> An over or under collection for the Schedule 11 charge will be recovered prorata over the true-up year, held for the intermediate year and returned prorata over the rate year.</t>
    </r>
  </si>
  <si>
    <t>2017 BASE PLAN ROE REFUND INTEREST THROUGH 2020</t>
  </si>
  <si>
    <t>Interest</t>
  </si>
  <si>
    <t>Total 2017 Refund including Interest</t>
  </si>
  <si>
    <t>Total True Up Included in 2020 Base Plan PTRR</t>
  </si>
  <si>
    <t>S.001</t>
  </si>
  <si>
    <t>SWE</t>
  </si>
  <si>
    <t>Arsenal Hill Auto xfmr &amp; AH to Water Works line</t>
  </si>
  <si>
    <t>S.002</t>
  </si>
  <si>
    <t>SW Shreveport (sub work &amp; tap)</t>
  </si>
  <si>
    <t>S.003</t>
  </si>
  <si>
    <t>[NW Ark Area Improve - 2009]  E. Centerton-Flint Crk, E Rogers-N Rogers, Centerton</t>
  </si>
  <si>
    <t>S.004</t>
  </si>
  <si>
    <t>Rebuild N. Magazine - Danville 161 kV Line</t>
  </si>
  <si>
    <t>S.005</t>
  </si>
  <si>
    <t>[Greenwood, AR Area Improve]  N Huntington, Greenwood, Reeves, Bonanza</t>
  </si>
  <si>
    <t>S.006</t>
  </si>
  <si>
    <t>Port Robson-Caplis Line (SW 138 kV Loop -- 2009)</t>
  </si>
  <si>
    <t>S.007</t>
  </si>
  <si>
    <t>Linwood 138 Station Switch Replacement*</t>
  </si>
  <si>
    <t>S.008</t>
  </si>
  <si>
    <t>Dyess to S. Fayetteville 69 kV Convert to 161 kV (multi-projects)</t>
  </si>
  <si>
    <t>S.009</t>
  </si>
  <si>
    <t>Northwest Texarkana-Bann-Alumax Tap 138kV -- reconductor</t>
  </si>
  <si>
    <t>S.010</t>
  </si>
  <si>
    <t>Tontitown - Elm Springs REC 161 kV line***</t>
  </si>
  <si>
    <t>S.011</t>
  </si>
  <si>
    <t>Siloam Springs - Chamber Springs 161 kV line***</t>
  </si>
  <si>
    <t>S.012</t>
  </si>
  <si>
    <t>Knox Lee - Oak Hill #2 138 kV line, S. Shreveport  (SWE Minor Proj II)</t>
  </si>
  <si>
    <t>S.013</t>
  </si>
  <si>
    <t xml:space="preserve">Carthage REC - Carthage T 138 kV </t>
  </si>
  <si>
    <t>S.014</t>
  </si>
  <si>
    <t>NW Henderson - Oak Hill 138 kV line*</t>
  </si>
  <si>
    <t>S.015</t>
  </si>
  <si>
    <t>Arsenal Hill 138kV Device (Cap. Bank)</t>
  </si>
  <si>
    <t>S.016</t>
  </si>
  <si>
    <t>Daingerfield - Jenkins REC 69 kV CB Repl**</t>
  </si>
  <si>
    <t>S.017</t>
  </si>
  <si>
    <t>Linwood-McWillie 138 kV Rebuild</t>
  </si>
  <si>
    <t>S.018</t>
  </si>
  <si>
    <t>Port Robson (SW 138 kV Loop -- 2008)</t>
  </si>
  <si>
    <t>S.019</t>
  </si>
  <si>
    <t>Wallace Lake-Prt Robson-Red Point 138 kV Loop</t>
  </si>
  <si>
    <t>S.020</t>
  </si>
  <si>
    <t>[NW Ark Area Improve - 2008]  Elm Springs, East Rogers, Shipe Road Stations</t>
  </si>
  <si>
    <t>S.021</t>
  </si>
  <si>
    <t>Reconductor 4 mi. of McNabb-Turk</t>
  </si>
  <si>
    <t>S.022</t>
  </si>
  <si>
    <t>Longwood: r&amp;r switches, upgrade bus</t>
  </si>
  <si>
    <t>S.023</t>
  </si>
  <si>
    <t>Reconductor: Greggton-Lake Lamond &amp; Quitman-Westwood 69 kV lines</t>
  </si>
  <si>
    <t>S.024</t>
  </si>
  <si>
    <t>Rebuild/reconductor Dyess-Elm Springs REC [Dyess Station-Flint Creek]</t>
  </si>
  <si>
    <t>S.025</t>
  </si>
  <si>
    <t>Replace switch at Diana*</t>
  </si>
  <si>
    <t>S.026</t>
  </si>
  <si>
    <t>Whitney repl CB and Switches</t>
  </si>
  <si>
    <t>S.027</t>
  </si>
  <si>
    <t>Linwood - Powell Street 138 kV</t>
  </si>
  <si>
    <t>S.028</t>
  </si>
  <si>
    <t xml:space="preserve">Bloomburg-Texarkana Plant </t>
  </si>
  <si>
    <t>S.029</t>
  </si>
  <si>
    <t xml:space="preserve">Knox Lee - Pirkey 138 kV / Pirkey - Whitney 138 kV - Replace Breaker,  Wavetraps, and reset relays and CT's </t>
  </si>
  <si>
    <t>S.030</t>
  </si>
  <si>
    <t>NW Texarkana - Turk 345</t>
  </si>
  <si>
    <t>S.031</t>
  </si>
  <si>
    <t>Lone Star South - Pittsburg 138 kV - Replace Wavetraps, reset CT's and Relays</t>
  </si>
  <si>
    <t>S.032</t>
  </si>
  <si>
    <t>Howell-Kilgore 69 kV rebuild</t>
  </si>
  <si>
    <t>S.033</t>
  </si>
  <si>
    <t xml:space="preserve"> Flint Creek-Shipe Road 345 kV Line</t>
  </si>
  <si>
    <t>S.034</t>
  </si>
  <si>
    <t>Bann - LS Ordnance - Hooks 69 kV - Rebuild 7.1 mi</t>
  </si>
  <si>
    <t>S.035</t>
  </si>
  <si>
    <t>Diana - Replace North Autotransformer #3</t>
  </si>
  <si>
    <t>S.036</t>
  </si>
  <si>
    <t>Osburn 161 kV Line Work</t>
  </si>
  <si>
    <t>S.037</t>
  </si>
  <si>
    <t>SW Shreveport to Spring Ridge REC 138 kV Line Rebuild</t>
  </si>
  <si>
    <t>S.038</t>
  </si>
  <si>
    <t>Eastex Switching Station - Whitney 138 kV Station - Rebuild 2.5 miles of 138 Kv</t>
  </si>
  <si>
    <t>S.039</t>
  </si>
  <si>
    <t>Ashdown West - Craig Junction 138KV Rebuild (tie w/PSO)</t>
  </si>
  <si>
    <t>S.040</t>
  </si>
  <si>
    <t xml:space="preserve">Rock Hill to Carthage 69 kV Rebuild 11.4 Miles </t>
  </si>
  <si>
    <t>S.041</t>
  </si>
  <si>
    <t>Broadmoor to Fern Street 69 kV Rebuild 1 mile</t>
  </si>
  <si>
    <t>S.042</t>
  </si>
  <si>
    <t>Northwest Henderson to Poynter 69 kV Rebuild 3.2 miles</t>
  </si>
  <si>
    <t>S.043</t>
  </si>
  <si>
    <t>Diana to Perdue 138 kV Rebuild 21.8 miles; Station Upgrades at Diana and Perdue</t>
  </si>
  <si>
    <t>S.044</t>
  </si>
  <si>
    <t>Pittsburg-Winnsboro-North Mineola</t>
  </si>
  <si>
    <t>S.045</t>
  </si>
  <si>
    <t>CHAMBER SPRINGS - TONTITOWN 161KV CKT 1</t>
  </si>
  <si>
    <t>S.046</t>
  </si>
  <si>
    <t>CHAMBER SPRINGS - TONTITOWN 345KV CKT 1</t>
  </si>
  <si>
    <t>S.047</t>
  </si>
  <si>
    <t>FULTON - HOPE 115KV CKT 1</t>
  </si>
  <si>
    <t>S.048</t>
  </si>
  <si>
    <t>MINEOLA - NORTH MINEOLA 69KV CKT 1</t>
  </si>
  <si>
    <t>S.049</t>
  </si>
  <si>
    <t xml:space="preserve">SUGAR HILL 138/69KV TRANSFORMER CKT 1 </t>
  </si>
  <si>
    <t>S.050</t>
  </si>
  <si>
    <t>Dekalb-New Boston 69 kV</t>
  </si>
  <si>
    <t>S.051</t>
  </si>
  <si>
    <t>Hardy Street-Waterworks 69 kV</t>
  </si>
  <si>
    <t>S.052</t>
  </si>
  <si>
    <t>Red Oak (State Line)-North Huntington 69 kV</t>
  </si>
  <si>
    <t>S.053</t>
  </si>
  <si>
    <t>Mt. Pleasant - West Mt. Pleasant 69 kV Ckt 1)</t>
  </si>
  <si>
    <t>S.054</t>
  </si>
  <si>
    <t>Benteler - Port Robson 138 kV Ckt 1 and 2</t>
  </si>
  <si>
    <t>S.055</t>
  </si>
  <si>
    <t>Ellerbe Rd-S Shreveport 69 kv Build</t>
  </si>
  <si>
    <t>S.056</t>
  </si>
  <si>
    <t>Logansport 138 kv</t>
  </si>
  <si>
    <t>S.057</t>
  </si>
  <si>
    <t>Winnsboro 138 kw</t>
  </si>
  <si>
    <t>S.058</t>
  </si>
  <si>
    <t>Rock Hill-Springridge Pan-Harr REC 138 kv</t>
  </si>
  <si>
    <t>S.059</t>
  </si>
  <si>
    <t>Brownlee-North Mrket 69 kv Rebuild</t>
  </si>
  <si>
    <t>S.060</t>
  </si>
  <si>
    <t>S.061</t>
  </si>
  <si>
    <t>Messick 500/230 kV</t>
  </si>
  <si>
    <t>S.062</t>
  </si>
  <si>
    <t>Letourneau 69 kV Capacitor Bank Addition</t>
  </si>
  <si>
    <t>S.063</t>
  </si>
  <si>
    <t>Brooks Street - Edwards Street 69 kV Line Rebuild</t>
  </si>
  <si>
    <t>S.064</t>
  </si>
  <si>
    <t>Hallsville - Marshall New 69 kV Circuit</t>
  </si>
  <si>
    <t>S.065</t>
  </si>
  <si>
    <t>Daingerfield - Jenkins Rebuild</t>
  </si>
  <si>
    <t>S.066</t>
  </si>
  <si>
    <t>Broadmoor - Fort Humbug Rebuild</t>
  </si>
  <si>
    <t>S.067</t>
  </si>
  <si>
    <t>Chamber Springs - Farmington 161 kV Line</t>
  </si>
  <si>
    <t>S.068</t>
  </si>
  <si>
    <t>Evenside - Northwest Henderson 69 KV Line Rebuild</t>
  </si>
  <si>
    <t>S.069</t>
  </si>
  <si>
    <t>Hallsville - Longview Heights 69 KV Line Rebuild</t>
  </si>
  <si>
    <t>S.070</t>
  </si>
  <si>
    <t>Linwood - South Shreveport 138 KV Kine Rebuild</t>
  </si>
  <si>
    <t>S.071</t>
  </si>
  <si>
    <t>IPC 138 KV Capacitor Bank Addition</t>
  </si>
  <si>
    <t>SOUTHWESTERN ELECTRIC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</si>
</sst>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0.00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 MT"/>
    </font>
    <font>
      <b/>
      <sz val="12"/>
      <name val="Arial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quotePrefix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2" xfId="0" applyBorder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quotePrefix="1" applyFill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/>
    <xf numFmtId="0" fontId="9" fillId="0" borderId="0" xfId="0" applyFont="1" applyAlignment="1"/>
    <xf numFmtId="0" fontId="3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3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1" fontId="14" fillId="2" borderId="0" xfId="2" applyNumberFormat="1" applyFont="1" applyFill="1" applyBorder="1" applyAlignment="1">
      <alignment horizontal="center"/>
    </xf>
    <xf numFmtId="0" fontId="13" fillId="0" borderId="4" xfId="0" applyFont="1" applyFill="1" applyBorder="1" applyProtection="1">
      <protection locked="0"/>
    </xf>
    <xf numFmtId="165" fontId="13" fillId="0" borderId="0" xfId="0" applyNumberFormat="1" applyFont="1" applyFill="1" applyAlignment="1" applyProtection="1">
      <alignment horizontal="right"/>
      <protection locked="0"/>
    </xf>
    <xf numFmtId="165" fontId="13" fillId="0" borderId="0" xfId="0" applyNumberFormat="1" applyFont="1" applyFill="1" applyProtection="1">
      <protection locked="0"/>
    </xf>
    <xf numFmtId="0" fontId="3" fillId="0" borderId="0" xfId="0" applyNumberFormat="1" applyFont="1" applyAlignment="1">
      <alignment horizontal="center"/>
    </xf>
    <xf numFmtId="0" fontId="15" fillId="0" borderId="0" xfId="0" quotePrefix="1" applyNumberFormat="1" applyFont="1" applyFill="1" applyAlignment="1" applyProtection="1">
      <alignment horizontal="center"/>
      <protection locked="0"/>
    </xf>
    <xf numFmtId="5" fontId="13" fillId="0" borderId="5" xfId="0" applyNumberFormat="1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Protection="1">
      <protection locked="0"/>
    </xf>
    <xf numFmtId="164" fontId="13" fillId="0" borderId="0" xfId="0" applyNumberFormat="1" applyFont="1" applyFill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 applyProtection="1">
      <alignment horizontal="right"/>
      <protection locked="0"/>
    </xf>
    <xf numFmtId="0" fontId="13" fillId="0" borderId="0" xfId="0" applyNumberFormat="1" applyFont="1" applyFill="1" applyAlignment="1" applyProtection="1">
      <alignment horizontal="center"/>
      <protection locked="0"/>
    </xf>
    <xf numFmtId="164" fontId="13" fillId="0" borderId="6" xfId="0" applyNumberFormat="1" applyFont="1" applyFill="1" applyBorder="1" applyProtection="1"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Protection="1">
      <protection locked="0"/>
    </xf>
    <xf numFmtId="164" fontId="13" fillId="0" borderId="0" xfId="0" applyNumberFormat="1" applyFont="1" applyFill="1" applyAlignment="1" applyProtection="1">
      <alignment horizontal="left"/>
      <protection locked="0"/>
    </xf>
    <xf numFmtId="0" fontId="15" fillId="0" borderId="0" xfId="0" applyNumberFormat="1" applyFont="1" applyFill="1" applyAlignment="1" applyProtection="1">
      <alignment horizontal="center" wrapText="1"/>
      <protection locked="0"/>
    </xf>
    <xf numFmtId="0" fontId="15" fillId="0" borderId="0" xfId="0" applyFont="1" applyFill="1" applyAlignment="1" applyProtection="1">
      <alignment horizontal="center" wrapText="1"/>
      <protection locked="0"/>
    </xf>
    <xf numFmtId="164" fontId="15" fillId="0" borderId="0" xfId="0" applyNumberFormat="1" applyFont="1" applyFill="1" applyAlignment="1" applyProtection="1">
      <alignment horizont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164" fontId="15" fillId="0" borderId="0" xfId="0" applyNumberFormat="1" applyFont="1" applyFill="1" applyAlignment="1" applyProtection="1">
      <alignment horizontal="center"/>
      <protection locked="0"/>
    </xf>
    <xf numFmtId="0" fontId="15" fillId="0" borderId="0" xfId="0" applyNumberFormat="1" applyFont="1" applyFill="1" applyAlignment="1" applyProtection="1">
      <alignment horizontal="left"/>
      <protection locked="0"/>
    </xf>
    <xf numFmtId="166" fontId="13" fillId="0" borderId="0" xfId="3" applyNumberFormat="1" applyFont="1" applyFill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left"/>
      <protection locked="0"/>
    </xf>
    <xf numFmtId="14" fontId="13" fillId="0" borderId="0" xfId="0" applyNumberFormat="1" applyFont="1" applyFill="1" applyAlignment="1" applyProtection="1">
      <alignment horizontal="left"/>
      <protection locked="0"/>
    </xf>
    <xf numFmtId="164" fontId="13" fillId="0" borderId="0" xfId="2" applyNumberFormat="1" applyFont="1" applyFill="1" applyProtection="1">
      <protection locked="0"/>
    </xf>
    <xf numFmtId="164" fontId="13" fillId="0" borderId="0" xfId="4" applyNumberFormat="1" applyFont="1" applyFill="1" applyProtection="1">
      <protection locked="0"/>
    </xf>
    <xf numFmtId="167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 applyProtection="1">
      <protection locked="0"/>
    </xf>
    <xf numFmtId="0" fontId="13" fillId="0" borderId="0" xfId="0" applyNumberFormat="1" applyFont="1" applyFill="1"/>
    <xf numFmtId="164" fontId="13" fillId="0" borderId="0" xfId="2" applyNumberFormat="1" applyFont="1" applyFill="1" applyBorder="1" applyProtection="1">
      <protection locked="0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15" fillId="0" borderId="0" xfId="2" applyNumberFormat="1" applyFont="1" applyFill="1" applyProtection="1">
      <protection locked="0"/>
    </xf>
    <xf numFmtId="164" fontId="9" fillId="0" borderId="0" xfId="2" applyNumberFormat="1" applyFont="1" applyFill="1"/>
    <xf numFmtId="164" fontId="15" fillId="0" borderId="0" xfId="2" applyNumberFormat="1" applyFont="1" applyFill="1" applyBorder="1" applyAlignment="1" applyProtection="1">
      <alignment horizontal="center"/>
      <protection locked="0"/>
    </xf>
    <xf numFmtId="10" fontId="3" fillId="0" borderId="0" xfId="5" applyNumberFormat="1" applyFont="1"/>
    <xf numFmtId="0" fontId="16" fillId="0" borderId="0" xfId="0" applyFont="1" applyFill="1" applyProtection="1"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0" fontId="17" fillId="0" borderId="0" xfId="0" applyFont="1" applyFill="1" applyProtection="1">
      <protection locked="0"/>
    </xf>
    <xf numFmtId="164" fontId="15" fillId="0" borderId="0" xfId="0" applyNumberFormat="1" applyFont="1" applyFill="1" applyProtection="1">
      <protection locked="0"/>
    </xf>
    <xf numFmtId="43" fontId="3" fillId="0" borderId="0" xfId="0" applyNumberFormat="1" applyFont="1"/>
    <xf numFmtId="14" fontId="13" fillId="0" borderId="6" xfId="0" applyNumberFormat="1" applyFont="1" applyFill="1" applyBorder="1" applyAlignment="1" applyProtection="1">
      <alignment horizontal="left"/>
      <protection locked="0"/>
    </xf>
    <xf numFmtId="0" fontId="13" fillId="0" borderId="6" xfId="0" applyFont="1" applyFill="1" applyBorder="1" applyProtection="1">
      <protection locked="0"/>
    </xf>
    <xf numFmtId="164" fontId="13" fillId="0" borderId="6" xfId="2" applyNumberFormat="1" applyFont="1" applyFill="1" applyBorder="1" applyProtection="1">
      <protection locked="0"/>
    </xf>
    <xf numFmtId="167" fontId="13" fillId="0" borderId="6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13" fillId="0" borderId="1" xfId="0" applyFont="1" applyFill="1" applyBorder="1" applyProtection="1">
      <protection locked="0"/>
    </xf>
    <xf numFmtId="0" fontId="9" fillId="0" borderId="1" xfId="0" applyFont="1" applyFill="1" applyBorder="1"/>
    <xf numFmtId="164" fontId="9" fillId="0" borderId="1" xfId="2" applyNumberFormat="1" applyFont="1" applyFill="1" applyBorder="1"/>
    <xf numFmtId="164" fontId="13" fillId="0" borderId="1" xfId="2" applyNumberFormat="1" applyFont="1" applyFill="1" applyBorder="1"/>
    <xf numFmtId="0" fontId="13" fillId="0" borderId="0" xfId="0" applyFont="1" applyFill="1" applyBorder="1" applyProtection="1">
      <protection locked="0"/>
    </xf>
    <xf numFmtId="0" fontId="9" fillId="0" borderId="0" xfId="0" applyFont="1" applyFill="1" applyBorder="1"/>
    <xf numFmtId="164" fontId="9" fillId="0" borderId="0" xfId="2" applyNumberFormat="1" applyFont="1" applyFill="1" applyBorder="1"/>
    <xf numFmtId="164" fontId="13" fillId="0" borderId="0" xfId="2" applyNumberFormat="1" applyFont="1" applyFill="1" applyBorder="1"/>
    <xf numFmtId="0" fontId="13" fillId="0" borderId="2" xfId="0" applyFont="1" applyFill="1" applyBorder="1" applyProtection="1">
      <protection locked="0"/>
    </xf>
    <xf numFmtId="0" fontId="9" fillId="0" borderId="2" xfId="0" applyFont="1" applyFill="1" applyBorder="1"/>
    <xf numFmtId="164" fontId="9" fillId="0" borderId="2" xfId="2" applyNumberFormat="1" applyFont="1" applyFill="1" applyBorder="1"/>
    <xf numFmtId="164" fontId="13" fillId="0" borderId="2" xfId="2" applyNumberFormat="1" applyFont="1" applyFill="1" applyBorder="1"/>
    <xf numFmtId="0" fontId="3" fillId="0" borderId="0" xfId="0" applyFont="1" applyFill="1"/>
    <xf numFmtId="0" fontId="13" fillId="0" borderId="0" xfId="0" applyFont="1" applyFill="1" applyAlignment="1" applyProtection="1">
      <alignment wrapText="1"/>
      <protection locked="0"/>
    </xf>
    <xf numFmtId="43" fontId="3" fillId="0" borderId="0" xfId="6" applyNumberFormat="1" applyFont="1" applyFill="1" applyBorder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/>
    <xf numFmtId="0" fontId="2" fillId="3" borderId="3" xfId="0" applyFont="1" applyFill="1" applyBorder="1" applyAlignment="1">
      <alignment horizontal="center" wrapText="1"/>
    </xf>
    <xf numFmtId="0" fontId="0" fillId="3" borderId="4" xfId="0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</cellXfs>
  <cellStyles count="7">
    <cellStyle name="Comma" xfId="1" builtinId="3"/>
    <cellStyle name="Comma 100" xfId="2"/>
    <cellStyle name="Comma 2" xfId="4"/>
    <cellStyle name="Normal" xfId="0" builtinId="0"/>
    <cellStyle name="Normal 2" xfId="6"/>
    <cellStyle name="Percent 10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C83" sqref="C83"/>
    </sheetView>
  </sheetViews>
  <sheetFormatPr defaultRowHeight="15"/>
  <cols>
    <col min="1" max="1" width="9.85546875" customWidth="1"/>
    <col min="2" max="2" width="7" bestFit="1" customWidth="1"/>
    <col min="3" max="3" width="43.140625" customWidth="1"/>
    <col min="4" max="4" width="9" customWidth="1"/>
    <col min="5" max="5" width="14" bestFit="1" customWidth="1"/>
    <col min="6" max="6" width="13.7109375" customWidth="1"/>
    <col min="7" max="7" width="13.140625" customWidth="1"/>
    <col min="8" max="8" width="15.28515625" customWidth="1"/>
  </cols>
  <sheetData>
    <row r="1" spans="1:8">
      <c r="A1" s="19" t="s">
        <v>183</v>
      </c>
    </row>
    <row r="2" spans="1:8" ht="15.75" thickBot="1">
      <c r="D2" s="2"/>
    </row>
    <row r="3" spans="1:8" ht="60">
      <c r="A3" s="3" t="s">
        <v>0</v>
      </c>
      <c r="B3" s="4" t="s">
        <v>1</v>
      </c>
      <c r="C3" s="4" t="s">
        <v>2</v>
      </c>
      <c r="D3" s="5" t="s">
        <v>3</v>
      </c>
      <c r="E3" s="16" t="s">
        <v>5</v>
      </c>
      <c r="F3" s="16" t="s">
        <v>6</v>
      </c>
      <c r="G3" s="18" t="s">
        <v>39</v>
      </c>
      <c r="H3" s="95" t="s">
        <v>40</v>
      </c>
    </row>
    <row r="4" spans="1:8">
      <c r="B4" s="2"/>
      <c r="C4" s="2"/>
      <c r="H4" s="96"/>
    </row>
    <row r="5" spans="1:8">
      <c r="A5" s="1" t="s">
        <v>41</v>
      </c>
      <c r="B5" s="1" t="s">
        <v>42</v>
      </c>
      <c r="C5" s="7" t="s">
        <v>43</v>
      </c>
      <c r="D5" s="8">
        <v>2009</v>
      </c>
      <c r="E5" s="14">
        <v>-581842.88835877937</v>
      </c>
      <c r="F5" s="15">
        <v>210027.25253972015</v>
      </c>
      <c r="G5" s="15">
        <f>+'2017 Refund'!J5</f>
        <v>-39677.037913963701</v>
      </c>
      <c r="H5" s="97">
        <f>SUM(E5:G5)</f>
        <v>-411492.67373302294</v>
      </c>
    </row>
    <row r="6" spans="1:8">
      <c r="A6" s="1" t="s">
        <v>44</v>
      </c>
      <c r="B6" s="1" t="s">
        <v>42</v>
      </c>
      <c r="C6" s="7" t="s">
        <v>45</v>
      </c>
      <c r="D6" s="8">
        <v>2009</v>
      </c>
      <c r="E6" s="14">
        <v>-255088.5275925553</v>
      </c>
      <c r="F6" s="15">
        <v>95441.090850473498</v>
      </c>
      <c r="G6" s="15">
        <f>+'2017 Refund'!J6</f>
        <v>-11558.869872287123</v>
      </c>
      <c r="H6" s="97">
        <f t="shared" ref="H6:H23" si="0">SUM(E6:G6)</f>
        <v>-171206.30661436892</v>
      </c>
    </row>
    <row r="7" spans="1:8" ht="30">
      <c r="A7" s="1" t="s">
        <v>46</v>
      </c>
      <c r="B7" s="1" t="s">
        <v>42</v>
      </c>
      <c r="C7" s="92" t="s">
        <v>47</v>
      </c>
      <c r="D7" s="8">
        <v>2009</v>
      </c>
      <c r="E7" s="14">
        <v>-466651.47018208005</v>
      </c>
      <c r="F7" s="15">
        <v>162926.45243562525</v>
      </c>
      <c r="G7" s="15">
        <f>+'2017 Refund'!J7</f>
        <v>-39662.354310832387</v>
      </c>
      <c r="H7" s="97">
        <f t="shared" si="0"/>
        <v>-343387.3720572872</v>
      </c>
    </row>
    <row r="8" spans="1:8">
      <c r="A8" s="1" t="s">
        <v>48</v>
      </c>
      <c r="B8" s="1" t="s">
        <v>42</v>
      </c>
      <c r="C8" s="92" t="s">
        <v>49</v>
      </c>
      <c r="D8" s="8">
        <v>2009</v>
      </c>
      <c r="E8" s="14">
        <v>-388394.08074482222</v>
      </c>
      <c r="F8" s="15">
        <v>136638.02770315181</v>
      </c>
      <c r="G8" s="15">
        <f>+'2017 Refund'!J8</f>
        <v>-31375.799133748023</v>
      </c>
      <c r="H8" s="97">
        <f t="shared" si="0"/>
        <v>-283131.85217541846</v>
      </c>
    </row>
    <row r="9" spans="1:8" ht="30">
      <c r="A9" s="6" t="s">
        <v>50</v>
      </c>
      <c r="B9" s="1" t="s">
        <v>42</v>
      </c>
      <c r="C9" s="92" t="s">
        <v>51</v>
      </c>
      <c r="D9" s="8">
        <v>2009</v>
      </c>
      <c r="E9" s="14">
        <v>-98226.82347092712</v>
      </c>
      <c r="F9" s="15">
        <v>35444.38764042285</v>
      </c>
      <c r="G9" s="15">
        <f>+'2017 Refund'!J9</f>
        <v>-6717.6927058509364</v>
      </c>
      <c r="H9" s="97">
        <f t="shared" si="0"/>
        <v>-69500.128536355202</v>
      </c>
    </row>
    <row r="10" spans="1:8" ht="30">
      <c r="A10" s="1" t="s">
        <v>52</v>
      </c>
      <c r="B10" s="1" t="s">
        <v>42</v>
      </c>
      <c r="C10" s="92" t="s">
        <v>53</v>
      </c>
      <c r="D10" s="8">
        <v>2009</v>
      </c>
      <c r="E10" s="14">
        <v>-1224340.6094921627</v>
      </c>
      <c r="F10" s="15">
        <v>454605.53604533244</v>
      </c>
      <c r="G10" s="15">
        <f>+'2017 Refund'!J10</f>
        <v>-68603.366667369977</v>
      </c>
      <c r="H10" s="97">
        <f t="shared" si="0"/>
        <v>-838338.44011420023</v>
      </c>
    </row>
    <row r="11" spans="1:8">
      <c r="A11" s="1" t="s">
        <v>54</v>
      </c>
      <c r="B11" s="1" t="s">
        <v>42</v>
      </c>
      <c r="C11" s="92" t="s">
        <v>55</v>
      </c>
      <c r="D11" s="8">
        <v>2009</v>
      </c>
      <c r="E11" s="14">
        <v>-2500.1250189538691</v>
      </c>
      <c r="F11" s="15">
        <v>906.95840031702937</v>
      </c>
      <c r="G11" s="15">
        <f>+'2017 Refund'!J11</f>
        <v>-160.15160379222198</v>
      </c>
      <c r="H11" s="97">
        <f t="shared" si="0"/>
        <v>-1753.3182224290617</v>
      </c>
    </row>
    <row r="12" spans="1:8" ht="30">
      <c r="A12" s="1" t="s">
        <v>56</v>
      </c>
      <c r="B12" s="1" t="s">
        <v>42</v>
      </c>
      <c r="C12" s="92" t="s">
        <v>57</v>
      </c>
      <c r="D12" s="8">
        <v>2008</v>
      </c>
      <c r="E12" s="14">
        <v>-298111.32055829512</v>
      </c>
      <c r="F12" s="15">
        <v>110088.03991557052</v>
      </c>
      <c r="G12" s="15">
        <f>+'2017 Refund'!J12</f>
        <v>-15705.888340928532</v>
      </c>
      <c r="H12" s="97">
        <f t="shared" si="0"/>
        <v>-203729.16898365313</v>
      </c>
    </row>
    <row r="13" spans="1:8" ht="30">
      <c r="A13" s="1" t="s">
        <v>58</v>
      </c>
      <c r="B13" s="1" t="s">
        <v>42</v>
      </c>
      <c r="C13" s="92" t="s">
        <v>59</v>
      </c>
      <c r="D13" s="8">
        <v>2008</v>
      </c>
      <c r="E13" s="14">
        <v>-93910.662025936806</v>
      </c>
      <c r="F13" s="15">
        <v>32699.866037078667</v>
      </c>
      <c r="G13" s="15">
        <f>+'2017 Refund'!J13</f>
        <v>-7940.8246463178448</v>
      </c>
      <c r="H13" s="97">
        <f t="shared" si="0"/>
        <v>-69151.62063517599</v>
      </c>
    </row>
    <row r="14" spans="1:8">
      <c r="A14" s="1" t="s">
        <v>60</v>
      </c>
      <c r="B14" s="1" t="s">
        <v>42</v>
      </c>
      <c r="C14" s="93" t="s">
        <v>61</v>
      </c>
      <c r="D14" s="8">
        <v>2008</v>
      </c>
      <c r="E14" s="14">
        <v>0</v>
      </c>
      <c r="F14" s="15">
        <v>0</v>
      </c>
      <c r="G14" s="15">
        <f>+'2017 Refund'!J14</f>
        <v>0</v>
      </c>
      <c r="H14" s="97">
        <f t="shared" si="0"/>
        <v>0</v>
      </c>
    </row>
    <row r="15" spans="1:8" ht="30">
      <c r="A15" s="6" t="s">
        <v>62</v>
      </c>
      <c r="B15" s="1" t="s">
        <v>42</v>
      </c>
      <c r="C15" s="93" t="s">
        <v>63</v>
      </c>
      <c r="D15" s="8">
        <v>2007</v>
      </c>
      <c r="E15" s="14">
        <v>0</v>
      </c>
      <c r="F15" s="15">
        <v>0</v>
      </c>
      <c r="G15" s="15">
        <f>+'2017 Refund'!J15</f>
        <v>0</v>
      </c>
      <c r="H15" s="97">
        <f t="shared" si="0"/>
        <v>0</v>
      </c>
    </row>
    <row r="16" spans="1:8" ht="30">
      <c r="A16" s="6" t="s">
        <v>64</v>
      </c>
      <c r="B16" s="1" t="s">
        <v>42</v>
      </c>
      <c r="C16" s="93" t="s">
        <v>65</v>
      </c>
      <c r="D16" s="8">
        <v>2007</v>
      </c>
      <c r="E16" s="14">
        <v>-6249.0996515123625</v>
      </c>
      <c r="F16" s="15">
        <v>2132.8688334411854</v>
      </c>
      <c r="G16" s="15">
        <f>+'2017 Refund'!J16</f>
        <v>-587.08281337964252</v>
      </c>
      <c r="H16" s="97">
        <f t="shared" si="0"/>
        <v>-4703.3136314508192</v>
      </c>
    </row>
    <row r="17" spans="1:8">
      <c r="A17" s="6" t="s">
        <v>66</v>
      </c>
      <c r="B17" s="1" t="s">
        <v>42</v>
      </c>
      <c r="C17" s="93" t="s">
        <v>67</v>
      </c>
      <c r="D17" s="8">
        <v>2006</v>
      </c>
      <c r="E17" s="14">
        <v>-173172.09389961828</v>
      </c>
      <c r="F17" s="15">
        <v>0</v>
      </c>
      <c r="G17" s="15">
        <f>+'2017 Refund'!J17</f>
        <v>-9973.9281110791235</v>
      </c>
      <c r="H17" s="97">
        <f t="shared" si="0"/>
        <v>-183146.0220106974</v>
      </c>
    </row>
    <row r="18" spans="1:8">
      <c r="A18" s="9" t="s">
        <v>68</v>
      </c>
      <c r="B18" s="1" t="s">
        <v>42</v>
      </c>
      <c r="C18" s="93" t="s">
        <v>69</v>
      </c>
      <c r="D18" s="8">
        <v>2007</v>
      </c>
      <c r="E18" s="14">
        <v>-2589.1690349113851</v>
      </c>
      <c r="F18" s="15">
        <v>928.51296016500601</v>
      </c>
      <c r="G18" s="15">
        <f>+'2017 Refund'!J18</f>
        <v>-175.67241885193812</v>
      </c>
      <c r="H18" s="97">
        <f t="shared" si="0"/>
        <v>-1836.3284935983172</v>
      </c>
    </row>
    <row r="19" spans="1:8">
      <c r="A19" s="9" t="s">
        <v>70</v>
      </c>
      <c r="B19" s="1" t="s">
        <v>42</v>
      </c>
      <c r="C19" s="93" t="s">
        <v>71</v>
      </c>
      <c r="D19" s="8">
        <v>2007</v>
      </c>
      <c r="E19" s="14">
        <v>-11709.001041793679</v>
      </c>
      <c r="F19" s="15">
        <v>4071.418638195828</v>
      </c>
      <c r="G19" s="15">
        <f>+'2017 Refund'!J19</f>
        <v>-941.63604129750695</v>
      </c>
      <c r="H19" s="97">
        <f t="shared" si="0"/>
        <v>-8579.2184448953576</v>
      </c>
    </row>
    <row r="20" spans="1:8">
      <c r="A20" s="9" t="s">
        <v>72</v>
      </c>
      <c r="B20" s="1" t="s">
        <v>42</v>
      </c>
      <c r="C20" s="93" t="s">
        <v>73</v>
      </c>
      <c r="D20" s="8">
        <v>2008</v>
      </c>
      <c r="E20" s="14">
        <v>-11995.389165565946</v>
      </c>
      <c r="F20" s="15">
        <v>4536.4746963269426</v>
      </c>
      <c r="G20" s="15">
        <f>+'2017 Refund'!J20</f>
        <v>-500.62735044468531</v>
      </c>
      <c r="H20" s="97">
        <f t="shared" si="0"/>
        <v>-7959.541819683689</v>
      </c>
    </row>
    <row r="21" spans="1:8">
      <c r="A21" s="9" t="s">
        <v>74</v>
      </c>
      <c r="B21" s="1" t="s">
        <v>42</v>
      </c>
      <c r="C21" s="93" t="s">
        <v>75</v>
      </c>
      <c r="D21" s="8">
        <v>2008</v>
      </c>
      <c r="E21" s="14">
        <v>-64055.35116580288</v>
      </c>
      <c r="F21" s="15">
        <v>22388.565491029702</v>
      </c>
      <c r="G21" s="15">
        <f>+'2017 Refund'!J21</f>
        <v>-5243.7765955251452</v>
      </c>
      <c r="H21" s="97">
        <f t="shared" si="0"/>
        <v>-46910.562270298324</v>
      </c>
    </row>
    <row r="22" spans="1:8">
      <c r="A22" s="9" t="s">
        <v>76</v>
      </c>
      <c r="B22" s="1" t="s">
        <v>42</v>
      </c>
      <c r="C22" s="93" t="s">
        <v>77</v>
      </c>
      <c r="D22" s="8">
        <v>2009</v>
      </c>
      <c r="E22" s="14">
        <v>0</v>
      </c>
      <c r="F22" s="15">
        <v>0</v>
      </c>
      <c r="G22" s="15">
        <f>+'2017 Refund'!J22</f>
        <v>0</v>
      </c>
      <c r="H22" s="97">
        <f t="shared" si="0"/>
        <v>0</v>
      </c>
    </row>
    <row r="23" spans="1:8" ht="30">
      <c r="A23" s="9" t="s">
        <v>78</v>
      </c>
      <c r="B23" s="1" t="s">
        <v>42</v>
      </c>
      <c r="C23" s="93" t="s">
        <v>79</v>
      </c>
      <c r="D23" s="8">
        <v>2008</v>
      </c>
      <c r="E23" s="14">
        <v>-147757.3872360712</v>
      </c>
      <c r="F23" s="15">
        <v>51454.514130755735</v>
      </c>
      <c r="G23" s="15">
        <f>+'2017 Refund'!J23</f>
        <v>-12358.856602004716</v>
      </c>
      <c r="H23" s="97">
        <f t="shared" si="0"/>
        <v>-108661.72970732018</v>
      </c>
    </row>
    <row r="24" spans="1:8" ht="30">
      <c r="A24" s="9" t="s">
        <v>80</v>
      </c>
      <c r="B24" s="1" t="s">
        <v>42</v>
      </c>
      <c r="C24" s="93" t="s">
        <v>81</v>
      </c>
      <c r="D24" s="8">
        <v>2008</v>
      </c>
      <c r="E24" s="14">
        <v>0</v>
      </c>
      <c r="F24" s="15">
        <v>0</v>
      </c>
      <c r="G24" s="15">
        <f>+'2017 Refund'!J24</f>
        <v>0</v>
      </c>
      <c r="H24" s="97">
        <f t="shared" ref="H24:H29" si="1">SUM(E24:G24)</f>
        <v>0</v>
      </c>
    </row>
    <row r="25" spans="1:8">
      <c r="A25" s="9" t="s">
        <v>82</v>
      </c>
      <c r="B25" s="1" t="s">
        <v>42</v>
      </c>
      <c r="C25" s="93" t="s">
        <v>83</v>
      </c>
      <c r="D25" s="8">
        <v>2010</v>
      </c>
      <c r="E25" s="14">
        <v>-53723.468733794602</v>
      </c>
      <c r="F25" s="15">
        <v>19720.172004448599</v>
      </c>
      <c r="G25" s="15">
        <f>+'2017 Refund'!J25</f>
        <v>-3237.051290760644</v>
      </c>
      <c r="H25" s="97">
        <f t="shared" si="1"/>
        <v>-37240.348020106649</v>
      </c>
    </row>
    <row r="26" spans="1:8">
      <c r="A26" s="9" t="s">
        <v>84</v>
      </c>
      <c r="B26" s="1" t="s">
        <v>42</v>
      </c>
      <c r="C26" s="93" t="s">
        <v>85</v>
      </c>
      <c r="D26" s="8">
        <v>2010</v>
      </c>
      <c r="E26" s="14">
        <v>-6920.681669256207</v>
      </c>
      <c r="F26" s="15">
        <v>2487.972681390278</v>
      </c>
      <c r="G26" s="15">
        <f>+'2017 Refund'!J26</f>
        <v>-495.88046836626933</v>
      </c>
      <c r="H26" s="97">
        <f t="shared" si="1"/>
        <v>-4928.5894562321982</v>
      </c>
    </row>
    <row r="27" spans="1:8" ht="30">
      <c r="A27" s="9" t="s">
        <v>86</v>
      </c>
      <c r="B27" s="1" t="s">
        <v>42</v>
      </c>
      <c r="C27" s="93" t="s">
        <v>87</v>
      </c>
      <c r="D27" s="8">
        <v>2010</v>
      </c>
      <c r="E27" s="14">
        <v>-160761.80822353106</v>
      </c>
      <c r="F27" s="15">
        <v>57933.08020142559</v>
      </c>
      <c r="G27" s="15">
        <f>+'2017 Refund'!J27</f>
        <v>-11315.918992493045</v>
      </c>
      <c r="H27" s="97">
        <f t="shared" si="1"/>
        <v>-114144.64701459851</v>
      </c>
    </row>
    <row r="28" spans="1:8" ht="30">
      <c r="A28" s="9" t="s">
        <v>88</v>
      </c>
      <c r="B28" s="1" t="s">
        <v>42</v>
      </c>
      <c r="C28" s="93" t="s">
        <v>89</v>
      </c>
      <c r="D28" s="8">
        <v>2010</v>
      </c>
      <c r="E28" s="14">
        <v>-175693.29836816213</v>
      </c>
      <c r="F28" s="15">
        <v>63403.183171142824</v>
      </c>
      <c r="G28" s="15">
        <f>+'2017 Refund'!J28</f>
        <v>-12231.275440658015</v>
      </c>
      <c r="H28" s="97">
        <f t="shared" si="1"/>
        <v>-124521.39063767732</v>
      </c>
    </row>
    <row r="29" spans="1:8">
      <c r="A29" s="9" t="s">
        <v>90</v>
      </c>
      <c r="B29" s="1" t="s">
        <v>42</v>
      </c>
      <c r="C29" s="93" t="s">
        <v>91</v>
      </c>
      <c r="D29" s="8">
        <v>2010</v>
      </c>
      <c r="E29" s="14">
        <v>-3033.687502155482</v>
      </c>
      <c r="F29" s="15">
        <v>1090.9985118136556</v>
      </c>
      <c r="G29" s="15">
        <f>+'2017 Refund'!J29</f>
        <v>-220.68849575607118</v>
      </c>
      <c r="H29" s="97">
        <f t="shared" si="1"/>
        <v>-2163.3774860978974</v>
      </c>
    </row>
    <row r="30" spans="1:8">
      <c r="A30" s="9" t="s">
        <v>92</v>
      </c>
      <c r="B30" s="1" t="s">
        <v>42</v>
      </c>
      <c r="C30" s="93" t="s">
        <v>93</v>
      </c>
      <c r="D30" s="8">
        <v>2011</v>
      </c>
      <c r="E30" s="14">
        <v>-9084.3822499574726</v>
      </c>
      <c r="F30" s="15">
        <v>3150.3834137521844</v>
      </c>
      <c r="G30" s="15">
        <f>+'2017 Refund'!J30</f>
        <v>-847.54854391032563</v>
      </c>
      <c r="H30" s="97">
        <f t="shared" ref="H30:H75" si="2">SUM(E30:G30)</f>
        <v>-6781.547380115614</v>
      </c>
    </row>
    <row r="31" spans="1:8">
      <c r="A31" s="9" t="s">
        <v>94</v>
      </c>
      <c r="B31" s="1" t="s">
        <v>42</v>
      </c>
      <c r="C31" s="93" t="s">
        <v>95</v>
      </c>
      <c r="D31" s="8">
        <v>2012</v>
      </c>
      <c r="E31" s="14">
        <v>-14919.357100144267</v>
      </c>
      <c r="F31" s="15">
        <v>5393.9626312923647</v>
      </c>
      <c r="G31" s="15">
        <f>+'2017 Refund'!J31</f>
        <v>-1092.0538629707919</v>
      </c>
      <c r="H31" s="97">
        <f t="shared" si="2"/>
        <v>-10617.448331822694</v>
      </c>
    </row>
    <row r="32" spans="1:8">
      <c r="A32" s="9" t="s">
        <v>96</v>
      </c>
      <c r="B32" s="1" t="s">
        <v>42</v>
      </c>
      <c r="C32" s="93" t="s">
        <v>97</v>
      </c>
      <c r="D32" s="8">
        <v>2012</v>
      </c>
      <c r="E32" s="14">
        <v>-186462.5668688796</v>
      </c>
      <c r="F32" s="15">
        <v>67460.034959239187</v>
      </c>
      <c r="G32" s="15">
        <f>+'2017 Refund'!J32</f>
        <v>-13595.23377181142</v>
      </c>
      <c r="H32" s="97">
        <f t="shared" si="2"/>
        <v>-132597.76568145183</v>
      </c>
    </row>
    <row r="33" spans="1:8" ht="45">
      <c r="A33" s="9" t="s">
        <v>98</v>
      </c>
      <c r="B33" s="1" t="s">
        <v>42</v>
      </c>
      <c r="C33" s="93" t="s">
        <v>99</v>
      </c>
      <c r="D33" s="8">
        <v>2012</v>
      </c>
      <c r="E33" s="14">
        <v>-67779.589890326068</v>
      </c>
      <c r="F33" s="15">
        <v>24464.807272919366</v>
      </c>
      <c r="G33" s="15">
        <f>+'2017 Refund'!J33</f>
        <v>-5100.5599615703868</v>
      </c>
      <c r="H33" s="97">
        <f t="shared" si="2"/>
        <v>-48415.342578977084</v>
      </c>
    </row>
    <row r="34" spans="1:8">
      <c r="A34" s="9" t="s">
        <v>100</v>
      </c>
      <c r="B34" s="1" t="s">
        <v>42</v>
      </c>
      <c r="C34" s="93" t="s">
        <v>101</v>
      </c>
      <c r="D34" s="8">
        <v>2012</v>
      </c>
      <c r="E34" s="14">
        <v>-1704548.387124886</v>
      </c>
      <c r="F34" s="15">
        <v>614261.94238668215</v>
      </c>
      <c r="G34" s="15">
        <f>+'2017 Refund'!J34</f>
        <v>-128575.43970911893</v>
      </c>
      <c r="H34" s="97">
        <f t="shared" si="2"/>
        <v>-1218861.8844473229</v>
      </c>
    </row>
    <row r="35" spans="1:8" ht="30">
      <c r="A35" s="9" t="s">
        <v>102</v>
      </c>
      <c r="B35" s="1" t="s">
        <v>42</v>
      </c>
      <c r="C35" s="93" t="s">
        <v>103</v>
      </c>
      <c r="D35" s="8">
        <v>2012</v>
      </c>
      <c r="E35" s="14">
        <v>-8114.6059272278471</v>
      </c>
      <c r="F35" s="15">
        <v>2949.414357096859</v>
      </c>
      <c r="G35" s="15">
        <f>+'2017 Refund'!J35</f>
        <v>-571.16632475987581</v>
      </c>
      <c r="H35" s="97">
        <f t="shared" si="2"/>
        <v>-5736.3578948908635</v>
      </c>
    </row>
    <row r="36" spans="1:8">
      <c r="A36" s="9" t="s">
        <v>104</v>
      </c>
      <c r="B36" s="1" t="s">
        <v>42</v>
      </c>
      <c r="C36" s="93" t="s">
        <v>105</v>
      </c>
      <c r="D36" s="8">
        <v>2012</v>
      </c>
      <c r="E36" s="14">
        <v>-148828.16483588135</v>
      </c>
      <c r="F36" s="15">
        <v>53566.891766729008</v>
      </c>
      <c r="G36" s="15">
        <f>+'2017 Refund'!J36</f>
        <v>-11268.438356841682</v>
      </c>
      <c r="H36" s="97">
        <f t="shared" si="2"/>
        <v>-106529.71142599403</v>
      </c>
    </row>
    <row r="37" spans="1:8">
      <c r="A37" s="9" t="s">
        <v>106</v>
      </c>
      <c r="B37" s="1" t="s">
        <v>42</v>
      </c>
      <c r="C37" s="93" t="s">
        <v>107</v>
      </c>
      <c r="D37" s="8">
        <v>2012</v>
      </c>
      <c r="E37" s="14">
        <v>-2183758.5806460283</v>
      </c>
      <c r="F37" s="15">
        <v>789271.44683131482</v>
      </c>
      <c r="G37" s="15">
        <f>+'2017 Refund'!J37</f>
        <v>-166669.9829498413</v>
      </c>
      <c r="H37" s="97">
        <f t="shared" si="2"/>
        <v>-1561157.1167645548</v>
      </c>
    </row>
    <row r="38" spans="1:8" ht="30">
      <c r="A38" s="9" t="s">
        <v>108</v>
      </c>
      <c r="B38" s="1" t="s">
        <v>42</v>
      </c>
      <c r="C38" s="93" t="s">
        <v>109</v>
      </c>
      <c r="D38" s="8">
        <v>2013</v>
      </c>
      <c r="E38" s="14">
        <v>-314254.55566492514</v>
      </c>
      <c r="F38" s="15">
        <v>113401.65317922784</v>
      </c>
      <c r="G38" s="15">
        <f>+'2017 Refund'!J38</f>
        <v>-24162.408778631008</v>
      </c>
      <c r="H38" s="97">
        <f t="shared" si="2"/>
        <v>-225015.31126432831</v>
      </c>
    </row>
    <row r="39" spans="1:8">
      <c r="A39" s="9" t="s">
        <v>110</v>
      </c>
      <c r="B39" s="1" t="s">
        <v>42</v>
      </c>
      <c r="C39" s="93" t="s">
        <v>111</v>
      </c>
      <c r="D39" s="8">
        <v>2013</v>
      </c>
      <c r="E39" s="14">
        <v>-158921.43065424362</v>
      </c>
      <c r="F39" s="15">
        <v>57359.155761632952</v>
      </c>
      <c r="G39" s="15">
        <f>+'2017 Refund'!J39</f>
        <v>-12673.839422677076</v>
      </c>
      <c r="H39" s="97">
        <f t="shared" si="2"/>
        <v>-114236.11431528775</v>
      </c>
    </row>
    <row r="40" spans="1:8">
      <c r="A40" s="9" t="s">
        <v>112</v>
      </c>
      <c r="B40" s="1" t="s">
        <v>42</v>
      </c>
      <c r="C40" s="93" t="s">
        <v>113</v>
      </c>
      <c r="D40" s="8">
        <v>2013</v>
      </c>
      <c r="E40" s="14">
        <v>-247114.711730576</v>
      </c>
      <c r="F40" s="15">
        <v>86282.542048014351</v>
      </c>
      <c r="G40" s="15">
        <f>+'2017 Refund'!J40</f>
        <v>-24905.413275852734</v>
      </c>
      <c r="H40" s="97">
        <f t="shared" si="2"/>
        <v>-185737.58295841439</v>
      </c>
    </row>
    <row r="41" spans="1:8" ht="30">
      <c r="A41" s="9" t="s">
        <v>114</v>
      </c>
      <c r="B41" s="1" t="s">
        <v>42</v>
      </c>
      <c r="C41" s="93" t="s">
        <v>115</v>
      </c>
      <c r="D41" s="8">
        <v>2013</v>
      </c>
      <c r="E41" s="14">
        <v>-184808.46575868092</v>
      </c>
      <c r="F41" s="15">
        <v>66617.694828399224</v>
      </c>
      <c r="G41" s="15">
        <f>+'2017 Refund'!J41</f>
        <v>-14393.750034087643</v>
      </c>
      <c r="H41" s="97">
        <f t="shared" si="2"/>
        <v>-132584.52096436935</v>
      </c>
    </row>
    <row r="42" spans="1:8" ht="30">
      <c r="A42" s="9" t="s">
        <v>116</v>
      </c>
      <c r="B42" s="1" t="s">
        <v>42</v>
      </c>
      <c r="C42" s="93" t="s">
        <v>117</v>
      </c>
      <c r="D42" s="8">
        <v>2013</v>
      </c>
      <c r="E42" s="14">
        <v>-95498.239958077713</v>
      </c>
      <c r="F42" s="15">
        <v>34661.605702334724</v>
      </c>
      <c r="G42" s="15">
        <f>+'2017 Refund'!J42</f>
        <v>-6835.6087018456537</v>
      </c>
      <c r="H42" s="97">
        <f t="shared" si="2"/>
        <v>-67672.242957588649</v>
      </c>
    </row>
    <row r="43" spans="1:8" ht="30">
      <c r="A43" s="9" t="s">
        <v>118</v>
      </c>
      <c r="B43" s="1" t="s">
        <v>42</v>
      </c>
      <c r="C43" s="93" t="s">
        <v>119</v>
      </c>
      <c r="D43" s="8">
        <v>2013</v>
      </c>
      <c r="E43" s="14">
        <v>-156155.70775719793</v>
      </c>
      <c r="F43" s="15">
        <v>56377.829361361219</v>
      </c>
      <c r="G43" s="15">
        <f>+'2017 Refund'!J43</f>
        <v>-11789.01493211462</v>
      </c>
      <c r="H43" s="97">
        <f t="shared" si="2"/>
        <v>-111566.89332795133</v>
      </c>
    </row>
    <row r="44" spans="1:8">
      <c r="A44" s="9" t="s">
        <v>120</v>
      </c>
      <c r="B44" s="1" t="s">
        <v>42</v>
      </c>
      <c r="C44" s="93" t="s">
        <v>121</v>
      </c>
      <c r="D44" s="8">
        <v>2014</v>
      </c>
      <c r="E44" s="14">
        <v>-359015.97579961573</v>
      </c>
      <c r="F44" s="15">
        <v>129887.86493161484</v>
      </c>
      <c r="G44" s="15">
        <f>+'2017 Refund'!J44</f>
        <v>-27433.114796228361</v>
      </c>
      <c r="H44" s="97">
        <f t="shared" si="2"/>
        <v>-256561.22566422925</v>
      </c>
    </row>
    <row r="45" spans="1:8">
      <c r="A45" s="9" t="s">
        <v>122</v>
      </c>
      <c r="B45" s="1" t="s">
        <v>42</v>
      </c>
      <c r="C45" s="93" t="s">
        <v>123</v>
      </c>
      <c r="D45" s="8">
        <v>2014</v>
      </c>
      <c r="E45" s="14">
        <v>-184324.54778313544</v>
      </c>
      <c r="F45" s="15">
        <v>66779.589006201015</v>
      </c>
      <c r="G45" s="15">
        <f>+'2017 Refund'!J45</f>
        <v>-13949.911517763887</v>
      </c>
      <c r="H45" s="97">
        <f t="shared" si="2"/>
        <v>-131494.87029469831</v>
      </c>
    </row>
    <row r="46" spans="1:8" ht="30">
      <c r="A46" s="9" t="s">
        <v>124</v>
      </c>
      <c r="B46" s="1" t="s">
        <v>42</v>
      </c>
      <c r="C46" s="93" t="s">
        <v>125</v>
      </c>
      <c r="D46" s="8">
        <v>2014</v>
      </c>
      <c r="E46" s="14">
        <v>-198838.30265366414</v>
      </c>
      <c r="F46" s="15">
        <v>71727.227642688551</v>
      </c>
      <c r="G46" s="15">
        <f>+'2017 Refund'!J46</f>
        <v>-15827.70286422792</v>
      </c>
      <c r="H46" s="97">
        <f t="shared" si="2"/>
        <v>-142938.77787520352</v>
      </c>
    </row>
    <row r="47" spans="1:8" ht="30">
      <c r="A47" s="9" t="s">
        <v>126</v>
      </c>
      <c r="B47" s="1" t="s">
        <v>42</v>
      </c>
      <c r="C47" s="93" t="s">
        <v>127</v>
      </c>
      <c r="D47" s="8">
        <v>2014</v>
      </c>
      <c r="E47" s="14">
        <v>-560104.1413272894</v>
      </c>
      <c r="F47" s="15">
        <v>203759.80101938313</v>
      </c>
      <c r="G47" s="15">
        <f>+'2017 Refund'!J47</f>
        <v>-43158.56582745754</v>
      </c>
      <c r="H47" s="97">
        <f t="shared" si="2"/>
        <v>-399502.9061353638</v>
      </c>
    </row>
    <row r="48" spans="1:8">
      <c r="A48" s="9" t="s">
        <v>128</v>
      </c>
      <c r="B48" s="1" t="s">
        <v>42</v>
      </c>
      <c r="C48" s="93" t="s">
        <v>129</v>
      </c>
      <c r="D48" s="8">
        <v>2007</v>
      </c>
      <c r="E48" s="14">
        <v>-355545.66125341097</v>
      </c>
      <c r="F48" s="15">
        <v>325739.47284716973</v>
      </c>
      <c r="G48" s="15">
        <f>+'2017 Refund'!J48</f>
        <v>266210.05358227383</v>
      </c>
      <c r="H48" s="97">
        <f t="shared" si="2"/>
        <v>236403.86517603259</v>
      </c>
    </row>
    <row r="49" spans="1:8">
      <c r="A49" s="9" t="s">
        <v>130</v>
      </c>
      <c r="B49" s="1" t="s">
        <v>42</v>
      </c>
      <c r="C49" s="93" t="s">
        <v>131</v>
      </c>
      <c r="D49" s="8">
        <v>2007</v>
      </c>
      <c r="E49" s="14">
        <v>-26066.344863557482</v>
      </c>
      <c r="F49" s="15">
        <v>29119.552345124423</v>
      </c>
      <c r="G49" s="15">
        <f>+'2017 Refund'!J49</f>
        <v>27328.60706703844</v>
      </c>
      <c r="H49" s="97">
        <f t="shared" si="2"/>
        <v>30381.81454860538</v>
      </c>
    </row>
    <row r="50" spans="1:8">
      <c r="A50" s="9" t="s">
        <v>132</v>
      </c>
      <c r="B50" s="1" t="s">
        <v>42</v>
      </c>
      <c r="C50" s="93" t="s">
        <v>133</v>
      </c>
      <c r="D50" s="8">
        <v>2008</v>
      </c>
      <c r="E50" s="14">
        <v>-228829.20520347604</v>
      </c>
      <c r="F50" s="15">
        <v>185529.06737532862</v>
      </c>
      <c r="G50" s="15">
        <f>+'2017 Refund'!J50</f>
        <v>135368.49219967204</v>
      </c>
      <c r="H50" s="97">
        <f t="shared" si="2"/>
        <v>92068.35437152462</v>
      </c>
    </row>
    <row r="51" spans="1:8">
      <c r="A51" s="9" t="s">
        <v>134</v>
      </c>
      <c r="B51" s="1" t="s">
        <v>42</v>
      </c>
      <c r="C51" s="93" t="s">
        <v>135</v>
      </c>
      <c r="D51" s="8">
        <v>2012</v>
      </c>
      <c r="E51" s="14">
        <v>-21728.169968562186</v>
      </c>
      <c r="F51" s="15">
        <v>10009.487074023462</v>
      </c>
      <c r="G51" s="15">
        <f>+'2017 Refund'!J51</f>
        <v>1509.5240703357267</v>
      </c>
      <c r="H51" s="97">
        <f t="shared" si="2"/>
        <v>-10209.158824202997</v>
      </c>
    </row>
    <row r="52" spans="1:8">
      <c r="A52" s="9" t="s">
        <v>136</v>
      </c>
      <c r="B52" s="1" t="s">
        <v>42</v>
      </c>
      <c r="C52" s="93" t="s">
        <v>137</v>
      </c>
      <c r="D52" s="8">
        <v>2010</v>
      </c>
      <c r="E52" s="14">
        <v>-3310.0612675715679</v>
      </c>
      <c r="F52" s="15">
        <v>1927.0527512349545</v>
      </c>
      <c r="G52" s="15">
        <f>+'2017 Refund'!J52</f>
        <v>829.75852809865057</v>
      </c>
      <c r="H52" s="97">
        <f t="shared" si="2"/>
        <v>-553.24998823796284</v>
      </c>
    </row>
    <row r="53" spans="1:8">
      <c r="A53" s="9" t="s">
        <v>138</v>
      </c>
      <c r="B53" s="1" t="s">
        <v>42</v>
      </c>
      <c r="C53" s="93" t="s">
        <v>139</v>
      </c>
      <c r="D53" s="8">
        <v>2011</v>
      </c>
      <c r="E53" s="14">
        <v>-612.24286933800192</v>
      </c>
      <c r="F53" s="15">
        <v>292.1853145523628</v>
      </c>
      <c r="G53" s="15">
        <f>+'2017 Refund'!J53</f>
        <v>57.661366126861623</v>
      </c>
      <c r="H53" s="97">
        <f t="shared" si="2"/>
        <v>-262.39618865877753</v>
      </c>
    </row>
    <row r="54" spans="1:8">
      <c r="A54" s="9" t="s">
        <v>140</v>
      </c>
      <c r="B54" s="1" t="s">
        <v>42</v>
      </c>
      <c r="C54" s="93" t="s">
        <v>141</v>
      </c>
      <c r="D54" s="8">
        <v>2015</v>
      </c>
      <c r="E54" s="14">
        <v>-588299.57042982825</v>
      </c>
      <c r="F54" s="15">
        <v>222412.99106716528</v>
      </c>
      <c r="G54" s="15">
        <f>+'2017 Refund'!J54</f>
        <v>-35170.035996234481</v>
      </c>
      <c r="H54" s="97">
        <f t="shared" si="2"/>
        <v>-401056.61535889748</v>
      </c>
    </row>
    <row r="55" spans="1:8">
      <c r="A55" s="9" t="s">
        <v>142</v>
      </c>
      <c r="B55" s="1" t="s">
        <v>42</v>
      </c>
      <c r="C55" s="93" t="s">
        <v>143</v>
      </c>
      <c r="D55" s="8">
        <v>2015</v>
      </c>
      <c r="E55" s="14">
        <v>-198622.65160945503</v>
      </c>
      <c r="F55" s="15">
        <v>76414.462895693257</v>
      </c>
      <c r="G55" s="15">
        <f>+'2017 Refund'!J55</f>
        <v>-8788.0746952600457</v>
      </c>
      <c r="H55" s="97">
        <f t="shared" si="2"/>
        <v>-130996.26340902182</v>
      </c>
    </row>
    <row r="56" spans="1:8">
      <c r="A56" s="9" t="s">
        <v>144</v>
      </c>
      <c r="B56" s="1" t="s">
        <v>42</v>
      </c>
      <c r="C56" s="93" t="s">
        <v>145</v>
      </c>
      <c r="D56" s="8">
        <v>2015</v>
      </c>
      <c r="E56" s="14">
        <v>-461852.25735605205</v>
      </c>
      <c r="F56" s="15">
        <v>166898.76799430512</v>
      </c>
      <c r="G56" s="15">
        <f>+'2017 Refund'!J56</f>
        <v>-34281.179763811495</v>
      </c>
      <c r="H56" s="97">
        <f t="shared" si="2"/>
        <v>-329234.66912555846</v>
      </c>
    </row>
    <row r="57" spans="1:8">
      <c r="A57" s="9" t="s">
        <v>146</v>
      </c>
      <c r="B57" s="1" t="s">
        <v>42</v>
      </c>
      <c r="C57" s="93" t="s">
        <v>147</v>
      </c>
      <c r="D57" s="8">
        <v>2015</v>
      </c>
      <c r="E57" s="14">
        <v>-222900.0647689678</v>
      </c>
      <c r="F57" s="15">
        <v>80559.686971349176</v>
      </c>
      <c r="G57" s="15">
        <f>+'2017 Refund'!J57</f>
        <v>-16682.224733094612</v>
      </c>
      <c r="H57" s="97">
        <f t="shared" si="2"/>
        <v>-159022.60253071325</v>
      </c>
    </row>
    <row r="58" spans="1:8">
      <c r="A58" s="9" t="s">
        <v>148</v>
      </c>
      <c r="B58" s="1" t="s">
        <v>42</v>
      </c>
      <c r="C58" s="93" t="s">
        <v>149</v>
      </c>
      <c r="D58" s="8">
        <v>2015</v>
      </c>
      <c r="E58" s="14">
        <v>-537485.34601609944</v>
      </c>
      <c r="F58" s="15">
        <v>194467.09240407497</v>
      </c>
      <c r="G58" s="15">
        <f>+'2017 Refund'!J58</f>
        <v>-40455.641851487919</v>
      </c>
      <c r="H58" s="97">
        <f t="shared" si="2"/>
        <v>-383473.8954635124</v>
      </c>
    </row>
    <row r="59" spans="1:8">
      <c r="A59" s="9" t="s">
        <v>150</v>
      </c>
      <c r="B59" s="1" t="s">
        <v>42</v>
      </c>
      <c r="C59" s="93" t="s">
        <v>151</v>
      </c>
      <c r="D59" s="8">
        <v>2016</v>
      </c>
      <c r="E59" s="14">
        <v>-349762.26073596126</v>
      </c>
      <c r="F59" s="15">
        <v>133672.78825129941</v>
      </c>
      <c r="G59" s="15">
        <f>+'2017 Refund'!J59</f>
        <v>-40027.087795615837</v>
      </c>
      <c r="H59" s="97">
        <f t="shared" si="2"/>
        <v>-256116.56028027768</v>
      </c>
    </row>
    <row r="60" spans="1:8">
      <c r="A60" s="9" t="s">
        <v>152</v>
      </c>
      <c r="B60" s="1" t="s">
        <v>42</v>
      </c>
      <c r="C60" s="93" t="s">
        <v>153</v>
      </c>
      <c r="D60" s="8">
        <v>2016</v>
      </c>
      <c r="E60" s="14">
        <v>-59183.434972547802</v>
      </c>
      <c r="F60" s="15">
        <v>22257.037435644888</v>
      </c>
      <c r="G60" s="15">
        <f>+'2017 Refund'!J60</f>
        <v>-4991.960831161633</v>
      </c>
      <c r="H60" s="97">
        <f t="shared" si="2"/>
        <v>-41918.358368064546</v>
      </c>
    </row>
    <row r="61" spans="1:8">
      <c r="A61" s="9" t="s">
        <v>154</v>
      </c>
      <c r="B61" s="1" t="s">
        <v>42</v>
      </c>
      <c r="C61" s="93" t="s">
        <v>155</v>
      </c>
      <c r="D61" s="8">
        <v>2016</v>
      </c>
      <c r="E61" s="14">
        <v>-46115.925713215976</v>
      </c>
      <c r="F61" s="15">
        <v>17552.578944040986</v>
      </c>
      <c r="G61" s="15">
        <f>+'2017 Refund'!J61</f>
        <v>-5241.6701638479053</v>
      </c>
      <c r="H61" s="97">
        <f t="shared" si="2"/>
        <v>-33805.016933022896</v>
      </c>
    </row>
    <row r="62" spans="1:8">
      <c r="A62" s="9" t="s">
        <v>156</v>
      </c>
      <c r="B62" s="1" t="s">
        <v>42</v>
      </c>
      <c r="C62" s="93" t="s">
        <v>157</v>
      </c>
      <c r="D62" s="8">
        <v>2016</v>
      </c>
      <c r="E62" s="14">
        <v>-900940.97856995056</v>
      </c>
      <c r="F62" s="15">
        <v>359630.65427560452</v>
      </c>
      <c r="G62" s="15">
        <f>+'2017 Refund'!J62</f>
        <v>-84157.508001768059</v>
      </c>
      <c r="H62" s="97">
        <f t="shared" si="2"/>
        <v>-625467.83229611407</v>
      </c>
    </row>
    <row r="63" spans="1:8">
      <c r="A63" s="9" t="s">
        <v>158</v>
      </c>
      <c r="B63" s="1" t="s">
        <v>42</v>
      </c>
      <c r="C63" s="93" t="s">
        <v>159</v>
      </c>
      <c r="D63" s="8">
        <v>2017</v>
      </c>
      <c r="E63" s="14">
        <v>-484073.42137857806</v>
      </c>
      <c r="F63" s="15">
        <v>231937.69232986821</v>
      </c>
      <c r="G63" s="15">
        <f>+'2017 Refund'!J63</f>
        <v>-566900.96474567824</v>
      </c>
      <c r="H63" s="97">
        <f t="shared" si="2"/>
        <v>-819036.69379438809</v>
      </c>
    </row>
    <row r="64" spans="1:8">
      <c r="A64" s="9" t="s">
        <v>160</v>
      </c>
      <c r="B64" s="1" t="s">
        <v>42</v>
      </c>
      <c r="C64" s="93" t="s">
        <v>4</v>
      </c>
      <c r="D64" s="8">
        <v>2016</v>
      </c>
      <c r="E64" s="14">
        <v>-4637558.0824927827</v>
      </c>
      <c r="F64" s="15">
        <v>1441916.7267016489</v>
      </c>
      <c r="G64" s="15">
        <f>+'2017 Refund'!J64</f>
        <v>-393304.24565040355</v>
      </c>
      <c r="H64" s="97">
        <f t="shared" si="2"/>
        <v>-3588945.6014415375</v>
      </c>
    </row>
    <row r="65" spans="1:8">
      <c r="A65" s="9" t="s">
        <v>161</v>
      </c>
      <c r="B65" s="1" t="s">
        <v>42</v>
      </c>
      <c r="C65" s="93" t="s">
        <v>162</v>
      </c>
      <c r="D65" s="8">
        <v>2017</v>
      </c>
      <c r="E65" s="14">
        <v>-2533480.618688182</v>
      </c>
      <c r="F65" s="15">
        <v>865708.56794586033</v>
      </c>
      <c r="G65" s="15">
        <f>+'2017 Refund'!J65</f>
        <v>-84444.187514440404</v>
      </c>
      <c r="H65" s="97">
        <f t="shared" si="2"/>
        <v>-1752216.238256762</v>
      </c>
    </row>
    <row r="66" spans="1:8">
      <c r="A66" s="9" t="s">
        <v>163</v>
      </c>
      <c r="B66" s="1" t="s">
        <v>42</v>
      </c>
      <c r="C66" s="93" t="s">
        <v>164</v>
      </c>
      <c r="D66" s="8">
        <v>2017</v>
      </c>
      <c r="E66" s="14">
        <v>-39316.856735846886</v>
      </c>
      <c r="F66" s="15">
        <v>17300.185634223541</v>
      </c>
      <c r="G66" s="15">
        <f>+'2017 Refund'!J66</f>
        <v>523.17926939832091</v>
      </c>
      <c r="H66" s="97">
        <f t="shared" si="2"/>
        <v>-21493.491832225023</v>
      </c>
    </row>
    <row r="67" spans="1:8" ht="30">
      <c r="A67" s="9" t="s">
        <v>165</v>
      </c>
      <c r="B67" s="1" t="s">
        <v>42</v>
      </c>
      <c r="C67" s="93" t="s">
        <v>166</v>
      </c>
      <c r="D67" s="8">
        <v>2017</v>
      </c>
      <c r="E67" s="14">
        <v>-347830.49888616061</v>
      </c>
      <c r="F67" s="15">
        <v>81370.868785078637</v>
      </c>
      <c r="G67" s="15">
        <f>+'2017 Refund'!J67</f>
        <v>-64252.17624003024</v>
      </c>
      <c r="H67" s="97">
        <f t="shared" si="2"/>
        <v>-330711.80634111224</v>
      </c>
    </row>
    <row r="68" spans="1:8">
      <c r="A68" s="9" t="s">
        <v>167</v>
      </c>
      <c r="B68" s="1" t="s">
        <v>42</v>
      </c>
      <c r="C68" s="93" t="s">
        <v>168</v>
      </c>
      <c r="D68" s="8">
        <v>2017</v>
      </c>
      <c r="E68" s="14">
        <v>-491141.63855232677</v>
      </c>
      <c r="F68" s="15">
        <v>234450.92367814062</v>
      </c>
      <c r="G68" s="15">
        <f>+'2017 Refund'!J68</f>
        <v>216490.84158512665</v>
      </c>
      <c r="H68" s="97">
        <f t="shared" si="2"/>
        <v>-40199.873289059498</v>
      </c>
    </row>
    <row r="69" spans="1:8">
      <c r="A69" s="9" t="s">
        <v>169</v>
      </c>
      <c r="B69" s="1" t="s">
        <v>42</v>
      </c>
      <c r="C69" s="93" t="s">
        <v>170</v>
      </c>
      <c r="D69" s="8">
        <v>2017</v>
      </c>
      <c r="E69" s="14">
        <v>2447.4874974630534</v>
      </c>
      <c r="F69" s="15">
        <v>27108.849713256961</v>
      </c>
      <c r="G69" s="15">
        <f>+'2017 Refund'!J69</f>
        <v>16008.937079130825</v>
      </c>
      <c r="H69" s="97">
        <f t="shared" si="2"/>
        <v>45565.274289850844</v>
      </c>
    </row>
    <row r="70" spans="1:8">
      <c r="A70" s="9" t="s">
        <v>171</v>
      </c>
      <c r="B70" s="1" t="s">
        <v>42</v>
      </c>
      <c r="C70" s="93" t="s">
        <v>172</v>
      </c>
      <c r="D70" s="8">
        <v>2017</v>
      </c>
      <c r="E70" s="14">
        <v>-260915.4036225552</v>
      </c>
      <c r="F70" s="15">
        <v>94917.907034155913</v>
      </c>
      <c r="G70" s="15">
        <f>+'2017 Refund'!J70</f>
        <v>30835.698497547462</v>
      </c>
      <c r="H70" s="97">
        <f t="shared" si="2"/>
        <v>-135161.79809085181</v>
      </c>
    </row>
    <row r="71" spans="1:8">
      <c r="A71" s="9" t="s">
        <v>173</v>
      </c>
      <c r="B71" s="1" t="s">
        <v>42</v>
      </c>
      <c r="C71" s="93" t="s">
        <v>174</v>
      </c>
      <c r="D71" s="8">
        <v>2017</v>
      </c>
      <c r="E71" s="14">
        <v>-166435.27002491194</v>
      </c>
      <c r="F71" s="15">
        <v>133604.79184380663</v>
      </c>
      <c r="G71" s="15">
        <f>+'2017 Refund'!J71</f>
        <v>44673.774721807218</v>
      </c>
      <c r="H71" s="97">
        <f t="shared" si="2"/>
        <v>11843.296540701907</v>
      </c>
    </row>
    <row r="72" spans="1:8" ht="30">
      <c r="A72" s="9" t="s">
        <v>175</v>
      </c>
      <c r="B72" s="1" t="s">
        <v>42</v>
      </c>
      <c r="C72" s="93" t="s">
        <v>176</v>
      </c>
      <c r="D72" s="8">
        <v>2018</v>
      </c>
      <c r="E72" s="14">
        <v>-259608.9911156357</v>
      </c>
      <c r="F72" s="15">
        <v>71731.1787440466</v>
      </c>
      <c r="G72" s="15">
        <f>+'2017 Refund'!J72</f>
        <v>0</v>
      </c>
      <c r="H72" s="97">
        <f t="shared" si="2"/>
        <v>-187877.8123715891</v>
      </c>
    </row>
    <row r="73" spans="1:8" ht="30">
      <c r="A73" s="9" t="s">
        <v>177</v>
      </c>
      <c r="B73" s="1" t="s">
        <v>42</v>
      </c>
      <c r="C73" s="93" t="s">
        <v>178</v>
      </c>
      <c r="D73" s="8">
        <v>2018</v>
      </c>
      <c r="E73" s="14">
        <v>-320326.96666271432</v>
      </c>
      <c r="F73" s="15">
        <v>67184.934579157387</v>
      </c>
      <c r="G73" s="15">
        <f>+'2017 Refund'!J73</f>
        <v>0</v>
      </c>
      <c r="H73" s="97">
        <f t="shared" si="2"/>
        <v>-253142.03208355693</v>
      </c>
    </row>
    <row r="74" spans="1:8" ht="30">
      <c r="A74" s="9" t="s">
        <v>179</v>
      </c>
      <c r="B74" s="1" t="s">
        <v>42</v>
      </c>
      <c r="C74" s="93" t="s">
        <v>180</v>
      </c>
      <c r="D74" s="8">
        <v>2018</v>
      </c>
      <c r="E74" s="14">
        <v>-300635.15783365624</v>
      </c>
      <c r="F74" s="15">
        <v>58243.40054197039</v>
      </c>
      <c r="G74" s="15">
        <f>+'2017 Refund'!J74</f>
        <v>0</v>
      </c>
      <c r="H74" s="97">
        <f t="shared" si="2"/>
        <v>-242391.75729168585</v>
      </c>
    </row>
    <row r="75" spans="1:8">
      <c r="A75" s="9" t="s">
        <v>181</v>
      </c>
      <c r="B75" s="1" t="s">
        <v>42</v>
      </c>
      <c r="C75" s="93" t="s">
        <v>182</v>
      </c>
      <c r="D75" s="8">
        <v>2018</v>
      </c>
      <c r="E75" s="14">
        <v>1622.7140611182842</v>
      </c>
      <c r="F75" s="15">
        <v>9377.16149734176</v>
      </c>
      <c r="G75" s="15">
        <f>+'2017 Refund'!J75</f>
        <v>0</v>
      </c>
      <c r="H75" s="97">
        <f t="shared" si="2"/>
        <v>10999.875558460044</v>
      </c>
    </row>
    <row r="76" spans="1:8">
      <c r="F76" s="15"/>
      <c r="H76" s="96"/>
    </row>
    <row r="77" spans="1:8">
      <c r="F77" s="15"/>
      <c r="H77" s="96"/>
    </row>
    <row r="78" spans="1:8" ht="15.75" thickBot="1">
      <c r="E78" s="15">
        <f>SUM(E5:E75)</f>
        <v>-24847765.536900189</v>
      </c>
      <c r="F78" s="15">
        <f>SUM(F5:F75)</f>
        <v>9077635.2869628798</v>
      </c>
      <c r="G78" s="15">
        <f>SUM(G5:G75)</f>
        <v>-1440394.5634636967</v>
      </c>
      <c r="H78" s="98">
        <f>SUM(H5:H75)</f>
        <v>-17210524.813401014</v>
      </c>
    </row>
    <row r="79" spans="1:8">
      <c r="F79" s="15"/>
    </row>
  </sheetData>
  <pageMargins left="0.45" right="0.2" top="0.75" bottom="0.75" header="0.3" footer="0.3"/>
  <pageSetup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79"/>
  <sheetViews>
    <sheetView workbookViewId="0">
      <selection activeCell="C83" sqref="C83"/>
    </sheetView>
  </sheetViews>
  <sheetFormatPr defaultRowHeight="15"/>
  <cols>
    <col min="1" max="1" width="9.42578125" customWidth="1"/>
    <col min="2" max="2" width="7" bestFit="1" customWidth="1"/>
    <col min="3" max="3" width="49" customWidth="1"/>
    <col min="4" max="4" width="10.140625" customWidth="1"/>
    <col min="5" max="6" width="11.5703125" bestFit="1" customWidth="1"/>
    <col min="7" max="7" width="12" customWidth="1"/>
    <col min="8" max="8" width="11.42578125" customWidth="1"/>
    <col min="9" max="9" width="9.7109375" bestFit="1" customWidth="1"/>
    <col min="10" max="10" width="13.140625" customWidth="1"/>
  </cols>
  <sheetData>
    <row r="2" spans="1:10">
      <c r="D2" s="2"/>
    </row>
    <row r="3" spans="1:10" ht="51.75">
      <c r="A3" s="3" t="s">
        <v>0</v>
      </c>
      <c r="B3" s="4" t="s">
        <v>1</v>
      </c>
      <c r="C3" s="4" t="s">
        <v>2</v>
      </c>
      <c r="D3" s="5" t="s">
        <v>3</v>
      </c>
      <c r="E3" s="18" t="s">
        <v>9</v>
      </c>
      <c r="F3" s="18" t="s">
        <v>10</v>
      </c>
      <c r="G3" s="18" t="s">
        <v>8</v>
      </c>
      <c r="H3" s="18" t="s">
        <v>7</v>
      </c>
      <c r="I3" s="18" t="s">
        <v>38</v>
      </c>
      <c r="J3" s="18" t="s">
        <v>39</v>
      </c>
    </row>
    <row r="4" spans="1:10">
      <c r="B4" s="2"/>
      <c r="C4" s="2"/>
    </row>
    <row r="5" spans="1:10">
      <c r="A5" s="1" t="s">
        <v>41</v>
      </c>
      <c r="B5" s="1" t="s">
        <v>42</v>
      </c>
      <c r="C5" s="7" t="s">
        <v>43</v>
      </c>
      <c r="D5" s="8">
        <v>2009</v>
      </c>
      <c r="E5" s="14">
        <v>9672.0542979020993</v>
      </c>
      <c r="F5" s="14">
        <v>73579.60699181493</v>
      </c>
      <c r="G5" s="15">
        <f>+E5-F5</f>
        <v>-63907.552693912832</v>
      </c>
      <c r="H5" s="14">
        <f>+G5/365*209</f>
        <v>-36593.639761719947</v>
      </c>
      <c r="I5" s="14">
        <f t="shared" ref="I5:I28" si="0">+H5/$H$79*$I$79</f>
        <v>-3083.3981522437539</v>
      </c>
      <c r="J5" s="15">
        <f>+H5+I5</f>
        <v>-39677.037913963701</v>
      </c>
    </row>
    <row r="6" spans="1:10">
      <c r="A6" s="1" t="s">
        <v>44</v>
      </c>
      <c r="B6" s="1" t="s">
        <v>42</v>
      </c>
      <c r="C6" s="7" t="s">
        <v>45</v>
      </c>
      <c r="D6" s="8">
        <v>2009</v>
      </c>
      <c r="E6" s="14">
        <v>28915.571900704243</v>
      </c>
      <c r="F6" s="14">
        <v>47533.370110517113</v>
      </c>
      <c r="G6" s="15">
        <f t="shared" ref="G6:G22" si="1">+E6-F6</f>
        <v>-18617.79820981287</v>
      </c>
      <c r="H6" s="14">
        <f t="shared" ref="H6:H69" si="2">+G6/365*209</f>
        <v>-10660.602262605178</v>
      </c>
      <c r="I6" s="14">
        <f t="shared" si="0"/>
        <v>-898.26760968194594</v>
      </c>
      <c r="J6" s="15">
        <f t="shared" ref="J6:J22" si="3">+H6+I6</f>
        <v>-11558.869872287123</v>
      </c>
    </row>
    <row r="7" spans="1:10" ht="30">
      <c r="A7" s="1" t="s">
        <v>46</v>
      </c>
      <c r="B7" s="1" t="s">
        <v>42</v>
      </c>
      <c r="C7" s="92" t="s">
        <v>47</v>
      </c>
      <c r="D7" s="8">
        <v>2009</v>
      </c>
      <c r="E7" s="14">
        <v>-26084.271375701828</v>
      </c>
      <c r="F7" s="14">
        <v>37799.630532008508</v>
      </c>
      <c r="G7" s="15">
        <f t="shared" si="1"/>
        <v>-63883.901907710337</v>
      </c>
      <c r="H7" s="14">
        <f t="shared" si="2"/>
        <v>-36580.097256743727</v>
      </c>
      <c r="I7" s="14">
        <f t="shared" si="0"/>
        <v>-3082.2570540886559</v>
      </c>
      <c r="J7" s="15">
        <f t="shared" si="3"/>
        <v>-39662.354310832387</v>
      </c>
    </row>
    <row r="8" spans="1:10">
      <c r="A8" s="1" t="s">
        <v>48</v>
      </c>
      <c r="B8" s="1" t="s">
        <v>42</v>
      </c>
      <c r="C8" s="92" t="s">
        <v>49</v>
      </c>
      <c r="D8" s="8">
        <v>2009</v>
      </c>
      <c r="E8" s="14">
        <v>-14732.70818379885</v>
      </c>
      <c r="F8" s="14">
        <v>35804.091987666201</v>
      </c>
      <c r="G8" s="15">
        <f t="shared" si="1"/>
        <v>-50536.800171465053</v>
      </c>
      <c r="H8" s="14">
        <f t="shared" si="2"/>
        <v>-28937.510235167661</v>
      </c>
      <c r="I8" s="14">
        <f t="shared" si="0"/>
        <v>-2438.2888985803625</v>
      </c>
      <c r="J8" s="15">
        <f t="shared" si="3"/>
        <v>-31375.799133748023</v>
      </c>
    </row>
    <row r="9" spans="1:10" ht="30">
      <c r="A9" s="6" t="s">
        <v>50</v>
      </c>
      <c r="B9" s="1" t="s">
        <v>42</v>
      </c>
      <c r="C9" s="92" t="s">
        <v>51</v>
      </c>
      <c r="D9" s="8">
        <v>2009</v>
      </c>
      <c r="E9" s="14">
        <v>1549.9276654291045</v>
      </c>
      <c r="F9" s="14">
        <v>12370.072594382917</v>
      </c>
      <c r="G9" s="15">
        <f t="shared" si="1"/>
        <v>-10820.144928953812</v>
      </c>
      <c r="H9" s="14">
        <f t="shared" si="2"/>
        <v>-6195.6446305516356</v>
      </c>
      <c r="I9" s="14">
        <f t="shared" si="0"/>
        <v>-522.04807529930042</v>
      </c>
      <c r="J9" s="15">
        <f t="shared" si="3"/>
        <v>-6717.6927058509364</v>
      </c>
    </row>
    <row r="10" spans="1:10">
      <c r="A10" s="1" t="s">
        <v>52</v>
      </c>
      <c r="B10" s="1" t="s">
        <v>42</v>
      </c>
      <c r="C10" s="92" t="s">
        <v>53</v>
      </c>
      <c r="D10" s="8">
        <v>2009</v>
      </c>
      <c r="E10" s="14">
        <v>86108.613007827895</v>
      </c>
      <c r="F10" s="14">
        <v>196607.61950578511</v>
      </c>
      <c r="G10" s="15">
        <f t="shared" si="1"/>
        <v>-110499.00649795722</v>
      </c>
      <c r="H10" s="14">
        <f t="shared" si="2"/>
        <v>-63272.033857734408</v>
      </c>
      <c r="I10" s="14">
        <f t="shared" si="0"/>
        <v>-5331.3328096355754</v>
      </c>
      <c r="J10" s="15">
        <f t="shared" si="3"/>
        <v>-68603.366667369977</v>
      </c>
    </row>
    <row r="11" spans="1:10">
      <c r="A11" s="1" t="s">
        <v>54</v>
      </c>
      <c r="B11" s="1" t="s">
        <v>42</v>
      </c>
      <c r="C11" s="92" t="s">
        <v>55</v>
      </c>
      <c r="D11" s="8">
        <v>2009</v>
      </c>
      <c r="E11" s="14">
        <v>84.255111881747837</v>
      </c>
      <c r="F11" s="14">
        <v>342.21028183570417</v>
      </c>
      <c r="G11" s="15">
        <f t="shared" si="1"/>
        <v>-257.95516995395633</v>
      </c>
      <c r="H11" s="14">
        <f t="shared" si="2"/>
        <v>-147.70583704212842</v>
      </c>
      <c r="I11" s="14">
        <f t="shared" si="0"/>
        <v>-12.445766750093561</v>
      </c>
      <c r="J11" s="15">
        <f t="shared" si="3"/>
        <v>-160.15160379222198</v>
      </c>
    </row>
    <row r="12" spans="1:10" ht="30">
      <c r="A12" s="1" t="s">
        <v>56</v>
      </c>
      <c r="B12" s="1" t="s">
        <v>42</v>
      </c>
      <c r="C12" s="92" t="s">
        <v>57</v>
      </c>
      <c r="D12" s="8">
        <v>2008</v>
      </c>
      <c r="E12" s="14">
        <v>24374.388813819245</v>
      </c>
      <c r="F12" s="14">
        <v>49671.763303545362</v>
      </c>
      <c r="G12" s="15">
        <f t="shared" si="1"/>
        <v>-25297.374489726117</v>
      </c>
      <c r="H12" s="14">
        <f t="shared" si="2"/>
        <v>-14485.345940692489</v>
      </c>
      <c r="I12" s="14">
        <f t="shared" si="0"/>
        <v>-1220.5424002360435</v>
      </c>
      <c r="J12" s="15">
        <f t="shared" si="3"/>
        <v>-15705.888340928532</v>
      </c>
    </row>
    <row r="13" spans="1:10" ht="30">
      <c r="A13" s="1" t="s">
        <v>58</v>
      </c>
      <c r="B13" s="1" t="s">
        <v>42</v>
      </c>
      <c r="C13" s="92" t="s">
        <v>59</v>
      </c>
      <c r="D13" s="8">
        <v>2008</v>
      </c>
      <c r="E13" s="14">
        <v>-5153.0502956233686</v>
      </c>
      <c r="F13" s="14">
        <v>7637.1854729363695</v>
      </c>
      <c r="G13" s="15">
        <f t="shared" si="1"/>
        <v>-12790.235768559738</v>
      </c>
      <c r="H13" s="14">
        <f t="shared" si="2"/>
        <v>-7323.7240428191371</v>
      </c>
      <c r="I13" s="14">
        <f t="shared" si="0"/>
        <v>-617.10060349870764</v>
      </c>
      <c r="J13" s="15">
        <f t="shared" si="3"/>
        <v>-7940.8246463178448</v>
      </c>
    </row>
    <row r="14" spans="1:10">
      <c r="A14" s="1" t="s">
        <v>60</v>
      </c>
      <c r="B14" s="1" t="s">
        <v>42</v>
      </c>
      <c r="C14" s="93" t="s">
        <v>61</v>
      </c>
      <c r="D14" s="8">
        <v>2008</v>
      </c>
      <c r="E14" s="14">
        <v>0</v>
      </c>
      <c r="F14" s="14">
        <v>0</v>
      </c>
      <c r="G14" s="15">
        <f t="shared" si="1"/>
        <v>0</v>
      </c>
      <c r="H14" s="14">
        <f t="shared" si="2"/>
        <v>0</v>
      </c>
      <c r="I14" s="14">
        <f t="shared" si="0"/>
        <v>0</v>
      </c>
      <c r="J14" s="15">
        <f t="shared" si="3"/>
        <v>0</v>
      </c>
    </row>
    <row r="15" spans="1:10">
      <c r="A15" s="6" t="s">
        <v>62</v>
      </c>
      <c r="B15" s="1" t="s">
        <v>42</v>
      </c>
      <c r="C15" s="93" t="s">
        <v>63</v>
      </c>
      <c r="D15" s="8">
        <v>2007</v>
      </c>
      <c r="E15" s="14">
        <v>0</v>
      </c>
      <c r="F15" s="14">
        <v>0</v>
      </c>
      <c r="G15" s="15">
        <f t="shared" si="1"/>
        <v>0</v>
      </c>
      <c r="H15" s="14">
        <f t="shared" si="2"/>
        <v>0</v>
      </c>
      <c r="I15" s="14">
        <f t="shared" si="0"/>
        <v>0</v>
      </c>
      <c r="J15" s="15">
        <f t="shared" si="3"/>
        <v>0</v>
      </c>
    </row>
    <row r="16" spans="1:10" ht="30">
      <c r="A16" s="6" t="s">
        <v>64</v>
      </c>
      <c r="B16" s="1" t="s">
        <v>42</v>
      </c>
      <c r="C16" s="93" t="s">
        <v>65</v>
      </c>
      <c r="D16" s="8">
        <v>2007</v>
      </c>
      <c r="E16" s="14">
        <v>-597.38021881902159</v>
      </c>
      <c r="F16" s="14">
        <v>348.23033590804567</v>
      </c>
      <c r="G16" s="15">
        <f t="shared" si="1"/>
        <v>-945.61055472706721</v>
      </c>
      <c r="H16" s="14">
        <f t="shared" si="2"/>
        <v>-541.45919435056726</v>
      </c>
      <c r="I16" s="14">
        <f t="shared" si="0"/>
        <v>-45.623619029075243</v>
      </c>
      <c r="J16" s="15">
        <f t="shared" si="3"/>
        <v>-587.08281337964252</v>
      </c>
    </row>
    <row r="17" spans="1:10">
      <c r="A17" s="6" t="s">
        <v>66</v>
      </c>
      <c r="B17" s="1" t="s">
        <v>42</v>
      </c>
      <c r="C17" s="93" t="s">
        <v>67</v>
      </c>
      <c r="D17" s="8">
        <v>2006</v>
      </c>
      <c r="E17" s="14">
        <v>11742.191445540841</v>
      </c>
      <c r="F17" s="14">
        <v>27807.134037935357</v>
      </c>
      <c r="G17" s="15">
        <f t="shared" si="1"/>
        <v>-16064.942592394516</v>
      </c>
      <c r="H17" s="14">
        <f t="shared" si="2"/>
        <v>-9198.8301419464478</v>
      </c>
      <c r="I17" s="14">
        <f t="shared" si="0"/>
        <v>-775.09796913267473</v>
      </c>
      <c r="J17" s="15">
        <f t="shared" si="3"/>
        <v>-9973.9281110791235</v>
      </c>
    </row>
    <row r="18" spans="1:10">
      <c r="A18" s="9" t="s">
        <v>68</v>
      </c>
      <c r="B18" s="1" t="s">
        <v>42</v>
      </c>
      <c r="C18" s="93" t="s">
        <v>69</v>
      </c>
      <c r="D18" s="8">
        <v>2007</v>
      </c>
      <c r="E18" s="14">
        <v>42.23884236021167</v>
      </c>
      <c r="F18" s="14">
        <v>325.19329044657621</v>
      </c>
      <c r="G18" s="15">
        <f t="shared" si="1"/>
        <v>-282.95444808636455</v>
      </c>
      <c r="H18" s="14">
        <f t="shared" si="2"/>
        <v>-162.02049219191832</v>
      </c>
      <c r="I18" s="14">
        <f t="shared" si="0"/>
        <v>-13.651926660019782</v>
      </c>
      <c r="J18" s="15">
        <f t="shared" si="3"/>
        <v>-175.67241885193812</v>
      </c>
    </row>
    <row r="19" spans="1:10">
      <c r="A19" s="9" t="s">
        <v>70</v>
      </c>
      <c r="B19" s="1" t="s">
        <v>42</v>
      </c>
      <c r="C19" s="93" t="s">
        <v>71</v>
      </c>
      <c r="D19" s="8">
        <v>2007</v>
      </c>
      <c r="E19" s="14">
        <v>-460.82759545566887</v>
      </c>
      <c r="F19" s="14">
        <v>1055.8595891622465</v>
      </c>
      <c r="G19" s="15">
        <f t="shared" si="1"/>
        <v>-1516.6871846179154</v>
      </c>
      <c r="H19" s="14">
        <f t="shared" si="2"/>
        <v>-868.45923721957354</v>
      </c>
      <c r="I19" s="14">
        <f t="shared" si="0"/>
        <v>-73.176804077933383</v>
      </c>
      <c r="J19" s="15">
        <f t="shared" si="3"/>
        <v>-941.63604129750695</v>
      </c>
    </row>
    <row r="20" spans="1:10">
      <c r="A20" s="9" t="s">
        <v>72</v>
      </c>
      <c r="B20" s="1" t="s">
        <v>42</v>
      </c>
      <c r="C20" s="93" t="s">
        <v>73</v>
      </c>
      <c r="D20" s="8">
        <v>2008</v>
      </c>
      <c r="E20" s="14">
        <v>1557.5441031228515</v>
      </c>
      <c r="F20" s="14">
        <v>2363.9013934007621</v>
      </c>
      <c r="G20" s="15">
        <f t="shared" si="1"/>
        <v>-806.35729027791058</v>
      </c>
      <c r="H20" s="14">
        <f t="shared" si="2"/>
        <v>-461.7223936111871</v>
      </c>
      <c r="I20" s="14">
        <f t="shared" si="0"/>
        <v>-38.90495683349819</v>
      </c>
      <c r="J20" s="15">
        <f t="shared" si="3"/>
        <v>-500.62735044468531</v>
      </c>
    </row>
    <row r="21" spans="1:10">
      <c r="A21" s="9" t="s">
        <v>74</v>
      </c>
      <c r="B21" s="1" t="s">
        <v>42</v>
      </c>
      <c r="C21" s="93" t="s">
        <v>75</v>
      </c>
      <c r="D21" s="8">
        <v>2008</v>
      </c>
      <c r="E21" s="14">
        <v>-2795.591306373693</v>
      </c>
      <c r="F21" s="14">
        <v>5650.5263151156614</v>
      </c>
      <c r="G21" s="15">
        <f t="shared" si="1"/>
        <v>-8446.1176214893549</v>
      </c>
      <c r="H21" s="14">
        <f t="shared" si="2"/>
        <v>-4836.270090113082</v>
      </c>
      <c r="I21" s="14">
        <f t="shared" si="0"/>
        <v>-407.50650541206295</v>
      </c>
      <c r="J21" s="15">
        <f t="shared" si="3"/>
        <v>-5243.7765955251452</v>
      </c>
    </row>
    <row r="22" spans="1:10">
      <c r="A22" s="9" t="s">
        <v>76</v>
      </c>
      <c r="B22" s="1" t="s">
        <v>42</v>
      </c>
      <c r="C22" s="93" t="s">
        <v>77</v>
      </c>
      <c r="D22" s="8">
        <v>2009</v>
      </c>
      <c r="E22" s="14">
        <v>0</v>
      </c>
      <c r="F22" s="14">
        <v>0</v>
      </c>
      <c r="G22" s="15">
        <f t="shared" si="1"/>
        <v>0</v>
      </c>
      <c r="H22" s="14">
        <f t="shared" si="2"/>
        <v>0</v>
      </c>
      <c r="I22" s="14">
        <f t="shared" si="0"/>
        <v>0</v>
      </c>
      <c r="J22" s="15">
        <f t="shared" si="3"/>
        <v>0</v>
      </c>
    </row>
    <row r="23" spans="1:10">
      <c r="A23" s="9" t="s">
        <v>78</v>
      </c>
      <c r="B23" s="1" t="s">
        <v>42</v>
      </c>
      <c r="C23" s="93" t="s">
        <v>79</v>
      </c>
      <c r="D23" s="8">
        <v>2008</v>
      </c>
      <c r="E23" s="14">
        <v>-7588.2324140016208</v>
      </c>
      <c r="F23" s="14">
        <v>12318.099334900498</v>
      </c>
      <c r="G23" s="15">
        <f t="shared" ref="G23:G28" si="4">+E23-F23</f>
        <v>-19906.331748902121</v>
      </c>
      <c r="H23" s="14">
        <f t="shared" si="2"/>
        <v>-11398.420097316557</v>
      </c>
      <c r="I23" s="14">
        <f t="shared" si="0"/>
        <v>-960.43650468815906</v>
      </c>
      <c r="J23" s="15">
        <f t="shared" ref="J23:J28" si="5">+H23+I23</f>
        <v>-12358.856602004716</v>
      </c>
    </row>
    <row r="24" spans="1:10" ht="30">
      <c r="A24" s="9" t="s">
        <v>80</v>
      </c>
      <c r="B24" s="1" t="s">
        <v>42</v>
      </c>
      <c r="C24" s="93" t="s">
        <v>81</v>
      </c>
      <c r="D24" s="8">
        <v>2008</v>
      </c>
      <c r="E24" s="14">
        <v>0</v>
      </c>
      <c r="F24" s="14">
        <v>0</v>
      </c>
      <c r="G24" s="15">
        <f t="shared" si="4"/>
        <v>0</v>
      </c>
      <c r="H24" s="14">
        <f t="shared" si="2"/>
        <v>0</v>
      </c>
      <c r="I24" s="14">
        <f t="shared" si="0"/>
        <v>0</v>
      </c>
      <c r="J24" s="15">
        <f t="shared" si="5"/>
        <v>0</v>
      </c>
    </row>
    <row r="25" spans="1:10">
      <c r="A25" s="9" t="s">
        <v>82</v>
      </c>
      <c r="B25" s="1" t="s">
        <v>42</v>
      </c>
      <c r="C25" s="93" t="s">
        <v>83</v>
      </c>
      <c r="D25" s="8">
        <v>2010</v>
      </c>
      <c r="E25" s="14">
        <v>2752.6793517103229</v>
      </c>
      <c r="F25" s="14">
        <v>7966.5772839543797</v>
      </c>
      <c r="G25" s="15">
        <f t="shared" si="4"/>
        <v>-5213.8979322440573</v>
      </c>
      <c r="H25" s="14">
        <f t="shared" si="2"/>
        <v>-2985.4922406548162</v>
      </c>
      <c r="I25" s="14">
        <f t="shared" si="0"/>
        <v>-251.55905010582791</v>
      </c>
      <c r="J25" s="15">
        <f t="shared" si="5"/>
        <v>-3237.051290760644</v>
      </c>
    </row>
    <row r="26" spans="1:10">
      <c r="A26" s="9" t="s">
        <v>84</v>
      </c>
      <c r="B26" s="1" t="s">
        <v>42</v>
      </c>
      <c r="C26" s="93" t="s">
        <v>85</v>
      </c>
      <c r="D26" s="8">
        <v>2010</v>
      </c>
      <c r="E26" s="14">
        <v>16.295567130502345</v>
      </c>
      <c r="F26" s="14">
        <v>815.00708462628188</v>
      </c>
      <c r="G26" s="15">
        <f t="shared" si="4"/>
        <v>-798.7115174957795</v>
      </c>
      <c r="H26" s="14">
        <f t="shared" si="2"/>
        <v>-457.34440316881626</v>
      </c>
      <c r="I26" s="14">
        <f t="shared" si="0"/>
        <v>-38.536065197453063</v>
      </c>
      <c r="J26" s="15">
        <f t="shared" si="5"/>
        <v>-495.88046836626933</v>
      </c>
    </row>
    <row r="27" spans="1:10" ht="30">
      <c r="A27" s="9" t="s">
        <v>86</v>
      </c>
      <c r="B27" s="1" t="s">
        <v>42</v>
      </c>
      <c r="C27" s="93" t="s">
        <v>87</v>
      </c>
      <c r="D27" s="8">
        <v>2010</v>
      </c>
      <c r="E27" s="14">
        <v>1252.297730393416</v>
      </c>
      <c r="F27" s="14">
        <v>19478.776502849592</v>
      </c>
      <c r="G27" s="15">
        <f t="shared" si="4"/>
        <v>-18226.478772456176</v>
      </c>
      <c r="H27" s="14">
        <f t="shared" si="2"/>
        <v>-10436.531680666687</v>
      </c>
      <c r="I27" s="14">
        <f t="shared" si="0"/>
        <v>-879.38731182635888</v>
      </c>
      <c r="J27" s="15">
        <f t="shared" si="5"/>
        <v>-11315.918992493045</v>
      </c>
    </row>
    <row r="28" spans="1:10" ht="30">
      <c r="A28" s="9" t="s">
        <v>88</v>
      </c>
      <c r="B28" s="1" t="s">
        <v>42</v>
      </c>
      <c r="C28" s="93" t="s">
        <v>89</v>
      </c>
      <c r="D28" s="8">
        <v>2010</v>
      </c>
      <c r="E28" s="14">
        <v>1949.8773462288991</v>
      </c>
      <c r="F28" s="14">
        <v>21650.714929735037</v>
      </c>
      <c r="G28" s="15">
        <f t="shared" si="4"/>
        <v>-19700.837583506138</v>
      </c>
      <c r="H28" s="14">
        <f t="shared" si="2"/>
        <v>-11280.753575213103</v>
      </c>
      <c r="I28" s="14">
        <f t="shared" si="0"/>
        <v>-950.52186544491337</v>
      </c>
      <c r="J28" s="15">
        <f t="shared" si="5"/>
        <v>-12231.275440658015</v>
      </c>
    </row>
    <row r="29" spans="1:10">
      <c r="A29" s="10" t="s">
        <v>90</v>
      </c>
      <c r="B29" s="1" t="s">
        <v>42</v>
      </c>
      <c r="C29" s="10" t="s">
        <v>91</v>
      </c>
      <c r="D29" s="8">
        <v>2010</v>
      </c>
      <c r="E29" s="14">
        <v>-5.2993331524439977</v>
      </c>
      <c r="F29" s="14">
        <v>350.16222378267992</v>
      </c>
      <c r="G29" s="15">
        <f t="shared" ref="G29:G75" si="6">+E29-F29</f>
        <v>-355.46155693512389</v>
      </c>
      <c r="H29" s="14">
        <f t="shared" si="2"/>
        <v>-203.53826136833121</v>
      </c>
      <c r="I29" s="14">
        <f t="shared" ref="I29:I75" si="7">+H29/$H$79*$I$79</f>
        <v>-17.150234387739985</v>
      </c>
      <c r="J29" s="15">
        <f t="shared" ref="J29:J75" si="8">+H29+I29</f>
        <v>-220.68849575607118</v>
      </c>
    </row>
    <row r="30" spans="1:10" s="94" customFormat="1">
      <c r="A30" s="11" t="s">
        <v>92</v>
      </c>
      <c r="B30" s="1" t="s">
        <v>42</v>
      </c>
      <c r="C30" s="12" t="s">
        <v>93</v>
      </c>
      <c r="D30" s="8">
        <v>2011</v>
      </c>
      <c r="E30" s="14">
        <v>-811.47182396777134</v>
      </c>
      <c r="F30" s="14">
        <v>553.66922683470818</v>
      </c>
      <c r="G30" s="15">
        <f t="shared" si="6"/>
        <v>-1365.1410508024796</v>
      </c>
      <c r="H30" s="14">
        <f t="shared" si="2"/>
        <v>-781.68350580196773</v>
      </c>
      <c r="I30" s="14">
        <f t="shared" si="7"/>
        <v>-65.86503810835795</v>
      </c>
      <c r="J30" s="15">
        <f t="shared" si="8"/>
        <v>-847.54854391032563</v>
      </c>
    </row>
    <row r="31" spans="1:10">
      <c r="A31" s="10" t="s">
        <v>94</v>
      </c>
      <c r="B31" s="1" t="s">
        <v>42</v>
      </c>
      <c r="C31" s="11" t="s">
        <v>95</v>
      </c>
      <c r="D31" s="8">
        <v>2012</v>
      </c>
      <c r="E31" s="14">
        <v>-32.194195458457045</v>
      </c>
      <c r="F31" s="14">
        <v>1726.7700181436701</v>
      </c>
      <c r="G31" s="15">
        <f t="shared" si="6"/>
        <v>-1758.9642136021271</v>
      </c>
      <c r="H31" s="14">
        <f t="shared" si="2"/>
        <v>-1007.1877277886152</v>
      </c>
      <c r="I31" s="14">
        <f t="shared" si="7"/>
        <v>-84.866135182176691</v>
      </c>
      <c r="J31" s="15">
        <f t="shared" si="8"/>
        <v>-1092.0538629707919</v>
      </c>
    </row>
    <row r="32" spans="1:10">
      <c r="A32" s="10" t="s">
        <v>96</v>
      </c>
      <c r="B32" s="1" t="s">
        <v>42</v>
      </c>
      <c r="C32" t="s">
        <v>97</v>
      </c>
      <c r="D32" s="8">
        <v>2012</v>
      </c>
      <c r="E32" s="14">
        <v>-166.02241460919549</v>
      </c>
      <c r="F32" s="14">
        <v>21731.734180580785</v>
      </c>
      <c r="G32" s="15">
        <f t="shared" si="6"/>
        <v>-21897.756595189981</v>
      </c>
      <c r="H32" s="14">
        <f t="shared" si="2"/>
        <v>-12538.715420259468</v>
      </c>
      <c r="I32" s="14">
        <f t="shared" si="7"/>
        <v>-1056.5183515519516</v>
      </c>
      <c r="J32" s="15">
        <f t="shared" si="8"/>
        <v>-13595.23377181142</v>
      </c>
    </row>
    <row r="33" spans="1:10">
      <c r="A33" t="s">
        <v>98</v>
      </c>
      <c r="B33" s="1" t="s">
        <v>42</v>
      </c>
      <c r="C33" t="s">
        <v>99</v>
      </c>
      <c r="D33" s="8">
        <v>2012</v>
      </c>
      <c r="E33" s="14">
        <v>-707.50149939375387</v>
      </c>
      <c r="F33" s="14">
        <v>7507.9380003831075</v>
      </c>
      <c r="G33" s="15">
        <f t="shared" si="6"/>
        <v>-8215.4394997768613</v>
      </c>
      <c r="H33" s="14">
        <f t="shared" si="2"/>
        <v>-4704.1831656256545</v>
      </c>
      <c r="I33" s="14">
        <f t="shared" si="7"/>
        <v>-396.37679594473246</v>
      </c>
      <c r="J33" s="15">
        <f t="shared" si="8"/>
        <v>-5100.5599615703868</v>
      </c>
    </row>
    <row r="34" spans="1:10">
      <c r="A34" t="s">
        <v>100</v>
      </c>
      <c r="B34" s="1" t="s">
        <v>42</v>
      </c>
      <c r="C34" t="s">
        <v>101</v>
      </c>
      <c r="D34" s="8">
        <v>2012</v>
      </c>
      <c r="E34" s="14">
        <v>-19639.978474552212</v>
      </c>
      <c r="F34" s="14">
        <v>187455.66475797116</v>
      </c>
      <c r="G34" s="15">
        <f t="shared" si="6"/>
        <v>-207095.64323252338</v>
      </c>
      <c r="H34" s="14">
        <f t="shared" si="2"/>
        <v>-118583.53270026681</v>
      </c>
      <c r="I34" s="14">
        <f t="shared" si="7"/>
        <v>-9991.9070088521275</v>
      </c>
      <c r="J34" s="15">
        <f t="shared" si="8"/>
        <v>-128575.43970911893</v>
      </c>
    </row>
    <row r="35" spans="1:10">
      <c r="A35" t="s">
        <v>102</v>
      </c>
      <c r="B35" s="1" t="s">
        <v>42</v>
      </c>
      <c r="C35" t="s">
        <v>103</v>
      </c>
      <c r="D35" s="8">
        <v>2012</v>
      </c>
      <c r="E35" s="14">
        <v>80.637799571205022</v>
      </c>
      <c r="F35" s="14">
        <v>1000.611767278458</v>
      </c>
      <c r="G35" s="15">
        <f t="shared" si="6"/>
        <v>-919.973967707253</v>
      </c>
      <c r="H35" s="14">
        <f t="shared" si="2"/>
        <v>-526.77961438579689</v>
      </c>
      <c r="I35" s="14">
        <f t="shared" si="7"/>
        <v>-44.386710374078966</v>
      </c>
      <c r="J35" s="15">
        <f t="shared" si="8"/>
        <v>-571.16632475987581</v>
      </c>
    </row>
    <row r="36" spans="1:10">
      <c r="A36" t="s">
        <v>104</v>
      </c>
      <c r="B36" s="1" t="s">
        <v>42</v>
      </c>
      <c r="C36" t="s">
        <v>105</v>
      </c>
      <c r="D36" s="8">
        <v>2012</v>
      </c>
      <c r="E36" s="14">
        <v>-1921.8886884888493</v>
      </c>
      <c r="F36" s="14">
        <v>16228.113326014531</v>
      </c>
      <c r="G36" s="15">
        <f t="shared" si="6"/>
        <v>-18150.002014503381</v>
      </c>
      <c r="H36" s="14">
        <f t="shared" si="2"/>
        <v>-10392.740879537552</v>
      </c>
      <c r="I36" s="14">
        <f t="shared" si="7"/>
        <v>-875.6974773041286</v>
      </c>
      <c r="J36" s="15">
        <f t="shared" si="8"/>
        <v>-11268.438356841682</v>
      </c>
    </row>
    <row r="37" spans="1:10">
      <c r="A37" s="10" t="s">
        <v>106</v>
      </c>
      <c r="B37" s="1" t="s">
        <v>42</v>
      </c>
      <c r="C37" s="17" t="s">
        <v>107</v>
      </c>
      <c r="D37" s="8">
        <v>2012</v>
      </c>
      <c r="E37" s="14">
        <v>-31020.224998246696</v>
      </c>
      <c r="F37" s="14">
        <v>237434.0568198</v>
      </c>
      <c r="G37" s="15">
        <f t="shared" si="6"/>
        <v>-268454.2818180467</v>
      </c>
      <c r="H37" s="14">
        <f t="shared" si="2"/>
        <v>-153717.6572601966</v>
      </c>
      <c r="I37" s="14">
        <f t="shared" si="7"/>
        <v>-12952.325689644696</v>
      </c>
      <c r="J37" s="15">
        <f t="shared" si="8"/>
        <v>-166669.9829498413</v>
      </c>
    </row>
    <row r="38" spans="1:10">
      <c r="A38" t="s">
        <v>108</v>
      </c>
      <c r="B38" s="1" t="s">
        <v>42</v>
      </c>
      <c r="C38" t="s">
        <v>109</v>
      </c>
      <c r="D38" s="8">
        <v>2013</v>
      </c>
      <c r="E38" s="14">
        <v>-5252.4088810366502</v>
      </c>
      <c r="F38" s="14">
        <v>33665.829309541085</v>
      </c>
      <c r="G38" s="15">
        <f t="shared" si="6"/>
        <v>-38918.238190577737</v>
      </c>
      <c r="H38" s="14">
        <f t="shared" si="2"/>
        <v>-22284.689813234923</v>
      </c>
      <c r="I38" s="14">
        <f t="shared" si="7"/>
        <v>-1877.7189653960838</v>
      </c>
      <c r="J38" s="15">
        <f t="shared" si="8"/>
        <v>-24162.408778631008</v>
      </c>
    </row>
    <row r="39" spans="1:10">
      <c r="A39" t="s">
        <v>110</v>
      </c>
      <c r="B39" s="1" t="s">
        <v>42</v>
      </c>
      <c r="C39" t="s">
        <v>111</v>
      </c>
      <c r="D39" s="8">
        <v>2013</v>
      </c>
      <c r="E39" s="14">
        <v>-4337.7631609401069</v>
      </c>
      <c r="F39" s="14">
        <v>16075.909414498661</v>
      </c>
      <c r="G39" s="15">
        <f t="shared" si="6"/>
        <v>-20413.672575438766</v>
      </c>
      <c r="H39" s="14">
        <f t="shared" si="2"/>
        <v>-11688.924844566307</v>
      </c>
      <c r="I39" s="14">
        <f t="shared" si="7"/>
        <v>-984.91457811076884</v>
      </c>
      <c r="J39" s="15">
        <f t="shared" si="8"/>
        <v>-12673.839422677076</v>
      </c>
    </row>
    <row r="40" spans="1:10">
      <c r="A40" t="s">
        <v>112</v>
      </c>
      <c r="B40" s="1" t="s">
        <v>42</v>
      </c>
      <c r="C40" t="s">
        <v>113</v>
      </c>
      <c r="D40" s="8">
        <v>2013</v>
      </c>
      <c r="E40" s="14">
        <v>-28583.956293340118</v>
      </c>
      <c r="F40" s="14">
        <v>11531.034516749587</v>
      </c>
      <c r="G40" s="15">
        <f t="shared" si="6"/>
        <v>-40114.990810089701</v>
      </c>
      <c r="H40" s="14">
        <f t="shared" si="2"/>
        <v>-22969.953641941775</v>
      </c>
      <c r="I40" s="14">
        <f t="shared" si="7"/>
        <v>-1935.4596339109578</v>
      </c>
      <c r="J40" s="15">
        <f t="shared" si="8"/>
        <v>-24905.413275852734</v>
      </c>
    </row>
    <row r="41" spans="1:10">
      <c r="A41" t="s">
        <v>114</v>
      </c>
      <c r="B41" s="1" t="s">
        <v>42</v>
      </c>
      <c r="C41" t="s">
        <v>115</v>
      </c>
      <c r="D41" s="8">
        <v>2013</v>
      </c>
      <c r="E41" s="14">
        <v>-3835.6466537822953</v>
      </c>
      <c r="F41" s="14">
        <v>19348.275007938631</v>
      </c>
      <c r="G41" s="15">
        <f t="shared" si="6"/>
        <v>-23183.921661720928</v>
      </c>
      <c r="H41" s="14">
        <f t="shared" si="2"/>
        <v>-13275.177061094997</v>
      </c>
      <c r="I41" s="14">
        <f t="shared" si="7"/>
        <v>-1118.5729729926459</v>
      </c>
      <c r="J41" s="15">
        <f t="shared" si="8"/>
        <v>-14393.750034087643</v>
      </c>
    </row>
    <row r="42" spans="1:10">
      <c r="A42" t="s">
        <v>116</v>
      </c>
      <c r="B42" s="1" t="s">
        <v>42</v>
      </c>
      <c r="C42" t="s">
        <v>117</v>
      </c>
      <c r="D42" s="8">
        <v>2013</v>
      </c>
      <c r="E42" s="14">
        <v>461.03960579787429</v>
      </c>
      <c r="F42" s="14">
        <v>11471.111079768185</v>
      </c>
      <c r="G42" s="15">
        <f t="shared" si="6"/>
        <v>-11010.071473970311</v>
      </c>
      <c r="H42" s="14">
        <f t="shared" si="2"/>
        <v>-6304.3970905747801</v>
      </c>
      <c r="I42" s="14">
        <f t="shared" si="7"/>
        <v>-531.21161127087396</v>
      </c>
      <c r="J42" s="15">
        <f t="shared" si="8"/>
        <v>-6835.6087018456537</v>
      </c>
    </row>
    <row r="43" spans="1:10">
      <c r="A43" t="s">
        <v>118</v>
      </c>
      <c r="B43" s="1" t="s">
        <v>42</v>
      </c>
      <c r="C43" t="s">
        <v>119</v>
      </c>
      <c r="D43" s="8">
        <v>2013</v>
      </c>
      <c r="E43" s="14">
        <v>-1765.3608381711199</v>
      </c>
      <c r="F43" s="14">
        <v>17223.130556200096</v>
      </c>
      <c r="G43" s="15">
        <f t="shared" si="6"/>
        <v>-18988.491394371216</v>
      </c>
      <c r="H43" s="14">
        <f t="shared" si="2"/>
        <v>-10872.862195681053</v>
      </c>
      <c r="I43" s="14">
        <f t="shared" si="7"/>
        <v>-916.15273643356727</v>
      </c>
      <c r="J43" s="15">
        <f t="shared" si="8"/>
        <v>-11789.01493211462</v>
      </c>
    </row>
    <row r="44" spans="1:10">
      <c r="A44" t="s">
        <v>120</v>
      </c>
      <c r="B44" s="1" t="s">
        <v>42</v>
      </c>
      <c r="C44" t="s">
        <v>121</v>
      </c>
      <c r="D44" s="8">
        <v>2014</v>
      </c>
      <c r="E44" s="14">
        <v>-5146.9153631651761</v>
      </c>
      <c r="F44" s="14">
        <v>39039.428214189393</v>
      </c>
      <c r="G44" s="15">
        <f t="shared" si="6"/>
        <v>-44186.343577354572</v>
      </c>
      <c r="H44" s="14">
        <f t="shared" si="2"/>
        <v>-25301.221390868781</v>
      </c>
      <c r="I44" s="14">
        <f t="shared" si="7"/>
        <v>-2131.8934053595817</v>
      </c>
      <c r="J44" s="15">
        <f t="shared" si="8"/>
        <v>-27433.114796228361</v>
      </c>
    </row>
    <row r="45" spans="1:10">
      <c r="A45" t="s">
        <v>122</v>
      </c>
      <c r="B45" s="1" t="s">
        <v>42</v>
      </c>
      <c r="C45" t="s">
        <v>123</v>
      </c>
      <c r="D45" s="8">
        <v>2014</v>
      </c>
      <c r="E45" s="14">
        <v>-2090.3022068399196</v>
      </c>
      <c r="F45" s="14">
        <v>20378.731578647537</v>
      </c>
      <c r="G45" s="15">
        <f t="shared" si="6"/>
        <v>-22469.033785487456</v>
      </c>
      <c r="H45" s="14">
        <f t="shared" si="2"/>
        <v>-12865.830304566789</v>
      </c>
      <c r="I45" s="14">
        <f t="shared" si="7"/>
        <v>-1084.0812131970984</v>
      </c>
      <c r="J45" s="15">
        <f t="shared" si="8"/>
        <v>-13949.911517763887</v>
      </c>
    </row>
    <row r="46" spans="1:10">
      <c r="A46" t="s">
        <v>124</v>
      </c>
      <c r="B46" s="1" t="s">
        <v>42</v>
      </c>
      <c r="C46" t="s">
        <v>125</v>
      </c>
      <c r="D46" s="8">
        <v>2014</v>
      </c>
      <c r="E46" s="14">
        <v>-5395.7906685761227</v>
      </c>
      <c r="F46" s="14">
        <v>20097.789699308549</v>
      </c>
      <c r="G46" s="15">
        <f t="shared" si="6"/>
        <v>-25493.580367884671</v>
      </c>
      <c r="H46" s="14">
        <f t="shared" si="2"/>
        <v>-14597.693964076429</v>
      </c>
      <c r="I46" s="14">
        <f t="shared" si="7"/>
        <v>-1230.0089001514921</v>
      </c>
      <c r="J46" s="15">
        <f t="shared" si="8"/>
        <v>-15827.70286422792</v>
      </c>
    </row>
    <row r="47" spans="1:10">
      <c r="A47" t="s">
        <v>126</v>
      </c>
      <c r="B47" s="1" t="s">
        <v>42</v>
      </c>
      <c r="C47" t="s">
        <v>127</v>
      </c>
      <c r="D47" s="8">
        <v>2014</v>
      </c>
      <c r="E47" s="14">
        <v>-8490.4798769899899</v>
      </c>
      <c r="F47" s="14">
        <v>61024.747690974647</v>
      </c>
      <c r="G47" s="15">
        <f t="shared" si="6"/>
        <v>-69515.227567964641</v>
      </c>
      <c r="H47" s="14">
        <f t="shared" si="2"/>
        <v>-39804.609758094826</v>
      </c>
      <c r="I47" s="14">
        <f t="shared" si="7"/>
        <v>-3353.9560693627118</v>
      </c>
      <c r="J47" s="15">
        <f t="shared" si="8"/>
        <v>-43158.56582745754</v>
      </c>
    </row>
    <row r="48" spans="1:10">
      <c r="A48" t="s">
        <v>128</v>
      </c>
      <c r="B48" s="1" t="s">
        <v>42</v>
      </c>
      <c r="C48" t="s">
        <v>129</v>
      </c>
      <c r="D48" s="8">
        <v>2007</v>
      </c>
      <c r="E48" s="14">
        <v>1254442.9780372418</v>
      </c>
      <c r="F48" s="14">
        <v>825660.13734612439</v>
      </c>
      <c r="G48" s="15">
        <f t="shared" si="6"/>
        <v>428782.84069111745</v>
      </c>
      <c r="H48" s="14">
        <f t="shared" si="2"/>
        <v>245522.22932724256</v>
      </c>
      <c r="I48" s="14">
        <f t="shared" si="7"/>
        <v>20687.824255031279</v>
      </c>
      <c r="J48" s="15">
        <f t="shared" si="8"/>
        <v>266210.05358227383</v>
      </c>
    </row>
    <row r="49" spans="1:10">
      <c r="A49" t="s">
        <v>130</v>
      </c>
      <c r="B49" s="1" t="s">
        <v>42</v>
      </c>
      <c r="C49" t="s">
        <v>131</v>
      </c>
      <c r="D49" s="8">
        <v>2007</v>
      </c>
      <c r="E49" s="14">
        <v>125498.41665305209</v>
      </c>
      <c r="F49" s="14">
        <v>81480.403010623821</v>
      </c>
      <c r="G49" s="15">
        <f t="shared" si="6"/>
        <v>44018.013642428268</v>
      </c>
      <c r="H49" s="14">
        <f t="shared" si="2"/>
        <v>25204.835208952074</v>
      </c>
      <c r="I49" s="14">
        <f t="shared" si="7"/>
        <v>2123.771858086367</v>
      </c>
      <c r="J49" s="15">
        <f t="shared" si="8"/>
        <v>27328.60706703844</v>
      </c>
    </row>
    <row r="50" spans="1:10">
      <c r="A50" t="s">
        <v>132</v>
      </c>
      <c r="B50" s="1" t="s">
        <v>42</v>
      </c>
      <c r="C50" t="s">
        <v>133</v>
      </c>
      <c r="D50" s="8">
        <v>2008</v>
      </c>
      <c r="E50" s="14">
        <v>652989.31715355685</v>
      </c>
      <c r="F50" s="14">
        <v>434952.14746601164</v>
      </c>
      <c r="G50" s="15">
        <f t="shared" si="6"/>
        <v>218037.16968754522</v>
      </c>
      <c r="H50" s="14">
        <f t="shared" si="2"/>
        <v>124848.68072519712</v>
      </c>
      <c r="I50" s="14">
        <f t="shared" si="7"/>
        <v>10519.81147447492</v>
      </c>
      <c r="J50" s="15">
        <f t="shared" si="8"/>
        <v>135368.49219967204</v>
      </c>
    </row>
    <row r="51" spans="1:10">
      <c r="A51" t="s">
        <v>134</v>
      </c>
      <c r="B51" s="1" t="s">
        <v>42</v>
      </c>
      <c r="C51" t="s">
        <v>135</v>
      </c>
      <c r="D51" s="8">
        <v>2012</v>
      </c>
      <c r="E51" s="14">
        <v>13310.774882155933</v>
      </c>
      <c r="F51" s="14">
        <v>10879.394059905611</v>
      </c>
      <c r="G51" s="15">
        <f t="shared" si="6"/>
        <v>2431.3808222503212</v>
      </c>
      <c r="H51" s="14">
        <f t="shared" si="2"/>
        <v>1392.2153201378551</v>
      </c>
      <c r="I51" s="14">
        <f t="shared" si="7"/>
        <v>117.30875019787165</v>
      </c>
      <c r="J51" s="15">
        <f t="shared" si="8"/>
        <v>1509.5240703357267</v>
      </c>
    </row>
    <row r="52" spans="1:10">
      <c r="A52" t="s">
        <v>136</v>
      </c>
      <c r="B52" s="1" t="s">
        <v>42</v>
      </c>
      <c r="C52" t="s">
        <v>137</v>
      </c>
      <c r="D52" s="8">
        <v>2010</v>
      </c>
      <c r="E52" s="14">
        <v>4602.2828839190242</v>
      </c>
      <c r="F52" s="14">
        <v>3265.7960984721258</v>
      </c>
      <c r="G52" s="15">
        <f t="shared" si="6"/>
        <v>1336.4867854468985</v>
      </c>
      <c r="H52" s="14">
        <f t="shared" si="2"/>
        <v>765.27599495452534</v>
      </c>
      <c r="I52" s="14">
        <f t="shared" si="7"/>
        <v>64.482533144125185</v>
      </c>
      <c r="J52" s="15">
        <f t="shared" si="8"/>
        <v>829.75852809865057</v>
      </c>
    </row>
    <row r="53" spans="1:10">
      <c r="A53" t="s">
        <v>138</v>
      </c>
      <c r="B53" s="1" t="s">
        <v>42</v>
      </c>
      <c r="C53" t="s">
        <v>139</v>
      </c>
      <c r="D53" s="8">
        <v>2011</v>
      </c>
      <c r="E53" s="14">
        <v>439.99214159666212</v>
      </c>
      <c r="F53" s="14">
        <v>347.11734579799355</v>
      </c>
      <c r="G53" s="15">
        <f t="shared" si="6"/>
        <v>92.874795798668572</v>
      </c>
      <c r="H53" s="14">
        <f t="shared" si="2"/>
        <v>53.18036252581296</v>
      </c>
      <c r="I53" s="14">
        <f t="shared" si="7"/>
        <v>4.4810036010486645</v>
      </c>
      <c r="J53" s="15">
        <f t="shared" si="8"/>
        <v>57.661366126861623</v>
      </c>
    </row>
    <row r="54" spans="1:10">
      <c r="A54" t="s">
        <v>140</v>
      </c>
      <c r="B54" s="1" t="s">
        <v>42</v>
      </c>
      <c r="C54" t="s">
        <v>141</v>
      </c>
      <c r="D54" s="8">
        <v>2015</v>
      </c>
      <c r="E54" s="14">
        <v>35232.607004196005</v>
      </c>
      <c r="F54" s="14">
        <v>91880.76036559268</v>
      </c>
      <c r="G54" s="15">
        <f t="shared" si="6"/>
        <v>-56648.153361396675</v>
      </c>
      <c r="H54" s="14">
        <f t="shared" si="2"/>
        <v>-32436.887815155904</v>
      </c>
      <c r="I54" s="14">
        <f t="shared" si="7"/>
        <v>-2733.1481810785795</v>
      </c>
      <c r="J54" s="15">
        <f t="shared" si="8"/>
        <v>-35170.035996234481</v>
      </c>
    </row>
    <row r="55" spans="1:10">
      <c r="A55" t="s">
        <v>142</v>
      </c>
      <c r="B55" s="1" t="s">
        <v>42</v>
      </c>
      <c r="C55" t="s">
        <v>143</v>
      </c>
      <c r="D55" s="8">
        <v>2015</v>
      </c>
      <c r="E55" s="14">
        <v>24494.598257954756</v>
      </c>
      <c r="F55" s="14">
        <v>38649.494293369702</v>
      </c>
      <c r="G55" s="15">
        <f t="shared" si="6"/>
        <v>-14154.896035414946</v>
      </c>
      <c r="H55" s="14">
        <f t="shared" si="2"/>
        <v>-8105.1322504156815</v>
      </c>
      <c r="I55" s="14">
        <f t="shared" si="7"/>
        <v>-682.94244484436456</v>
      </c>
      <c r="J55" s="15">
        <f t="shared" si="8"/>
        <v>-8788.0746952600457</v>
      </c>
    </row>
    <row r="56" spans="1:10">
      <c r="A56" t="s">
        <v>144</v>
      </c>
      <c r="B56" s="1" t="s">
        <v>42</v>
      </c>
      <c r="C56" t="s">
        <v>145</v>
      </c>
      <c r="D56" s="8">
        <v>2015</v>
      </c>
      <c r="E56" s="14">
        <v>-3147.7517374329145</v>
      </c>
      <c r="F56" s="14">
        <v>52068.726541916032</v>
      </c>
      <c r="G56" s="15">
        <f t="shared" si="6"/>
        <v>-55216.478279348943</v>
      </c>
      <c r="H56" s="14">
        <f t="shared" si="2"/>
        <v>-31617.106740777886</v>
      </c>
      <c r="I56" s="14">
        <f t="shared" si="7"/>
        <v>-2664.0730230336071</v>
      </c>
      <c r="J56" s="15">
        <f t="shared" si="8"/>
        <v>-34281.179763811495</v>
      </c>
    </row>
    <row r="57" spans="1:10">
      <c r="A57" t="s">
        <v>146</v>
      </c>
      <c r="B57" s="1" t="s">
        <v>42</v>
      </c>
      <c r="C57" t="s">
        <v>147</v>
      </c>
      <c r="D57" s="8">
        <v>2015</v>
      </c>
      <c r="E57" s="14">
        <v>-2039.9987107166769</v>
      </c>
      <c r="F57" s="14">
        <v>24829.954598139971</v>
      </c>
      <c r="G57" s="15">
        <f t="shared" si="6"/>
        <v>-26869.95330885665</v>
      </c>
      <c r="H57" s="14">
        <f t="shared" si="2"/>
        <v>-15385.808880961753</v>
      </c>
      <c r="I57" s="14">
        <f t="shared" si="7"/>
        <v>-1296.4158521328584</v>
      </c>
      <c r="J57" s="15">
        <f t="shared" si="8"/>
        <v>-16682.224733094612</v>
      </c>
    </row>
    <row r="58" spans="1:10">
      <c r="A58" t="s">
        <v>148</v>
      </c>
      <c r="B58" s="1" t="s">
        <v>42</v>
      </c>
      <c r="C58" t="s">
        <v>149</v>
      </c>
      <c r="D58" s="8">
        <v>2015</v>
      </c>
      <c r="E58" s="14">
        <v>-5591.2457443515013</v>
      </c>
      <c r="F58" s="14">
        <v>59570.399361220545</v>
      </c>
      <c r="G58" s="15">
        <f t="shared" si="6"/>
        <v>-65161.645105572046</v>
      </c>
      <c r="H58" s="14">
        <f t="shared" si="2"/>
        <v>-37311.736512505639</v>
      </c>
      <c r="I58" s="14">
        <f t="shared" si="7"/>
        <v>-3143.905338982283</v>
      </c>
      <c r="J58" s="15">
        <f t="shared" si="8"/>
        <v>-40455.641851487919</v>
      </c>
    </row>
    <row r="59" spans="1:10">
      <c r="A59" t="s">
        <v>150</v>
      </c>
      <c r="B59" s="1" t="s">
        <v>42</v>
      </c>
      <c r="C59" t="s">
        <v>151</v>
      </c>
      <c r="D59" s="8">
        <v>2016</v>
      </c>
      <c r="E59" s="14">
        <v>-48541.953046916198</v>
      </c>
      <c r="F59" s="14">
        <v>15929.422765690395</v>
      </c>
      <c r="G59" s="15">
        <f t="shared" si="6"/>
        <v>-64471.375812606595</v>
      </c>
      <c r="H59" s="14">
        <f t="shared" si="2"/>
        <v>-36916.486424204872</v>
      </c>
      <c r="I59" s="14">
        <f t="shared" si="7"/>
        <v>-3110.6013714109663</v>
      </c>
      <c r="J59" s="15">
        <f t="shared" si="8"/>
        <v>-40027.087795615837</v>
      </c>
    </row>
    <row r="60" spans="1:10">
      <c r="A60" t="s">
        <v>152</v>
      </c>
      <c r="B60" s="1" t="s">
        <v>42</v>
      </c>
      <c r="C60" t="s">
        <v>153</v>
      </c>
      <c r="D60" s="8">
        <v>2016</v>
      </c>
      <c r="E60" s="14">
        <v>-1906.3733538124825</v>
      </c>
      <c r="F60" s="14">
        <v>6134.1462171088006</v>
      </c>
      <c r="G60" s="15">
        <f t="shared" si="6"/>
        <v>-8040.519570921283</v>
      </c>
      <c r="H60" s="14">
        <f t="shared" si="2"/>
        <v>-4604.023535130269</v>
      </c>
      <c r="I60" s="14">
        <f t="shared" si="7"/>
        <v>-387.93729603136359</v>
      </c>
      <c r="J60" s="15">
        <f t="shared" si="8"/>
        <v>-4991.960831161633</v>
      </c>
    </row>
    <row r="61" spans="1:10">
      <c r="A61" t="s">
        <v>154</v>
      </c>
      <c r="B61" s="1" t="s">
        <v>42</v>
      </c>
      <c r="C61" t="s">
        <v>155</v>
      </c>
      <c r="D61" s="8">
        <v>2016</v>
      </c>
      <c r="E61" s="14">
        <v>-6327.693138337987</v>
      </c>
      <c r="F61" s="14">
        <v>2115.0316670419297</v>
      </c>
      <c r="G61" s="15">
        <f t="shared" si="6"/>
        <v>-8442.7248053799158</v>
      </c>
      <c r="H61" s="14">
        <f t="shared" si="2"/>
        <v>-4834.327354313431</v>
      </c>
      <c r="I61" s="14">
        <f t="shared" si="7"/>
        <v>-407.34280953447467</v>
      </c>
      <c r="J61" s="15">
        <f t="shared" si="8"/>
        <v>-5241.6701638479053</v>
      </c>
    </row>
    <row r="62" spans="1:10">
      <c r="A62" t="s">
        <v>156</v>
      </c>
      <c r="B62" s="1" t="s">
        <v>42</v>
      </c>
      <c r="C62" t="s">
        <v>157</v>
      </c>
      <c r="D62" s="8">
        <v>2016</v>
      </c>
      <c r="E62" s="14">
        <v>-41834.447855526625</v>
      </c>
      <c r="F62" s="14">
        <v>93717.515193574262</v>
      </c>
      <c r="G62" s="15">
        <f t="shared" si="6"/>
        <v>-135551.96304910089</v>
      </c>
      <c r="H62" s="14">
        <f t="shared" si="2"/>
        <v>-77617.425417156395</v>
      </c>
      <c r="I62" s="14">
        <f t="shared" si="7"/>
        <v>-6540.0825846116604</v>
      </c>
      <c r="J62" s="15">
        <f t="shared" si="8"/>
        <v>-84157.508001768059</v>
      </c>
    </row>
    <row r="63" spans="1:10">
      <c r="A63" t="s">
        <v>158</v>
      </c>
      <c r="B63" s="1" t="s">
        <v>42</v>
      </c>
      <c r="C63" t="s">
        <v>159</v>
      </c>
      <c r="D63" s="8">
        <v>2017</v>
      </c>
      <c r="E63" s="14">
        <v>-1963667.1985077218</v>
      </c>
      <c r="F63" s="14">
        <v>-1050563.4190553715</v>
      </c>
      <c r="G63" s="15">
        <f t="shared" si="6"/>
        <v>-913103.77945235022</v>
      </c>
      <c r="H63" s="14">
        <f t="shared" si="2"/>
        <v>-522845.725768606</v>
      </c>
      <c r="I63" s="14">
        <f t="shared" si="7"/>
        <v>-44055.238977072215</v>
      </c>
      <c r="J63" s="15">
        <f t="shared" si="8"/>
        <v>-566900.96474567824</v>
      </c>
    </row>
    <row r="64" spans="1:10">
      <c r="A64" t="s">
        <v>160</v>
      </c>
      <c r="B64" s="1" t="s">
        <v>42</v>
      </c>
      <c r="C64" t="s">
        <v>4</v>
      </c>
      <c r="D64" s="8">
        <v>2016</v>
      </c>
      <c r="E64" s="14">
        <v>-409041.78591553471</v>
      </c>
      <c r="F64" s="14">
        <v>224450.86185081731</v>
      </c>
      <c r="G64" s="15">
        <f t="shared" si="6"/>
        <v>-633492.64776635205</v>
      </c>
      <c r="H64" s="14">
        <f t="shared" si="2"/>
        <v>-362739.62570730841</v>
      </c>
      <c r="I64" s="14">
        <f t="shared" si="7"/>
        <v>-30564.61994309516</v>
      </c>
      <c r="J64" s="15">
        <f t="shared" si="8"/>
        <v>-393304.24565040355</v>
      </c>
    </row>
    <row r="65" spans="1:10">
      <c r="A65" t="s">
        <v>161</v>
      </c>
      <c r="B65" s="1" t="s">
        <v>42</v>
      </c>
      <c r="C65" t="s">
        <v>162</v>
      </c>
      <c r="D65" s="8">
        <v>2017</v>
      </c>
      <c r="E65" s="14">
        <v>2937.5498927629169</v>
      </c>
      <c r="F65" s="14">
        <v>138951.26581016261</v>
      </c>
      <c r="G65" s="15">
        <f t="shared" si="6"/>
        <v>-136013.71591739971</v>
      </c>
      <c r="H65" s="14">
        <f t="shared" si="2"/>
        <v>-77881.82637462065</v>
      </c>
      <c r="I65" s="14">
        <f t="shared" si="7"/>
        <v>-6562.361139819759</v>
      </c>
      <c r="J65" s="15">
        <f t="shared" si="8"/>
        <v>-84444.187514440404</v>
      </c>
    </row>
    <row r="66" spans="1:10">
      <c r="A66" t="s">
        <v>163</v>
      </c>
      <c r="B66" s="1" t="s">
        <v>42</v>
      </c>
      <c r="C66" t="s">
        <v>164</v>
      </c>
      <c r="D66" s="8">
        <v>2017</v>
      </c>
      <c r="E66" s="14">
        <v>8387.2807201751202</v>
      </c>
      <c r="F66" s="14">
        <v>7544.5991974279532</v>
      </c>
      <c r="G66" s="15">
        <f t="shared" si="6"/>
        <v>842.68152274716704</v>
      </c>
      <c r="H66" s="14">
        <f t="shared" si="2"/>
        <v>482.52174864152852</v>
      </c>
      <c r="I66" s="14">
        <f t="shared" si="7"/>
        <v>40.657520756792444</v>
      </c>
      <c r="J66" s="15">
        <f t="shared" si="8"/>
        <v>523.17926939832091</v>
      </c>
    </row>
    <row r="67" spans="1:10">
      <c r="A67" t="s">
        <v>165</v>
      </c>
      <c r="B67" s="1" t="s">
        <v>42</v>
      </c>
      <c r="C67" t="s">
        <v>166</v>
      </c>
      <c r="D67" s="8">
        <v>2017</v>
      </c>
      <c r="E67" s="14">
        <v>-212479.91085915538</v>
      </c>
      <c r="F67" s="14">
        <v>-108989.33911682291</v>
      </c>
      <c r="G67" s="15">
        <f t="shared" si="6"/>
        <v>-103490.57174233247</v>
      </c>
      <c r="H67" s="14">
        <f t="shared" si="2"/>
        <v>-59258.984915472567</v>
      </c>
      <c r="I67" s="14">
        <f t="shared" si="7"/>
        <v>-4993.1913245576688</v>
      </c>
      <c r="J67" s="15">
        <f t="shared" si="8"/>
        <v>-64252.17624003024</v>
      </c>
    </row>
    <row r="68" spans="1:10">
      <c r="A68" t="s">
        <v>167</v>
      </c>
      <c r="B68" s="1" t="s">
        <v>42</v>
      </c>
      <c r="C68" t="s">
        <v>168</v>
      </c>
      <c r="D68" s="8">
        <v>2017</v>
      </c>
      <c r="E68" s="14">
        <v>873061.64716471382</v>
      </c>
      <c r="F68" s="14">
        <v>524361.22511325148</v>
      </c>
      <c r="G68" s="15">
        <f t="shared" si="6"/>
        <v>348700.42205146234</v>
      </c>
      <c r="H68" s="14">
        <f t="shared" si="2"/>
        <v>199666.81701028941</v>
      </c>
      <c r="I68" s="14">
        <f t="shared" si="7"/>
        <v>16824.024574837254</v>
      </c>
      <c r="J68" s="15">
        <f t="shared" si="8"/>
        <v>216490.84158512665</v>
      </c>
    </row>
    <row r="69" spans="1:10">
      <c r="A69" t="s">
        <v>169</v>
      </c>
      <c r="B69" s="1" t="s">
        <v>42</v>
      </c>
      <c r="C69" t="s">
        <v>170</v>
      </c>
      <c r="D69" s="8">
        <v>2017</v>
      </c>
      <c r="E69" s="14">
        <v>70450.70198045671</v>
      </c>
      <c r="F69" s="14">
        <v>44665.208814949336</v>
      </c>
      <c r="G69" s="15">
        <f t="shared" si="6"/>
        <v>25785.493165507374</v>
      </c>
      <c r="H69" s="14">
        <f t="shared" si="2"/>
        <v>14764.844031756278</v>
      </c>
      <c r="I69" s="14">
        <f t="shared" si="7"/>
        <v>1244.0930473745459</v>
      </c>
      <c r="J69" s="15">
        <f t="shared" si="8"/>
        <v>16008.937079130825</v>
      </c>
    </row>
    <row r="70" spans="1:10">
      <c r="A70" t="s">
        <v>171</v>
      </c>
      <c r="B70" s="1" t="s">
        <v>42</v>
      </c>
      <c r="C70" t="s">
        <v>172</v>
      </c>
      <c r="D70" s="8">
        <v>2017</v>
      </c>
      <c r="E70" s="14">
        <v>145466.93167005904</v>
      </c>
      <c r="F70" s="14">
        <v>95800.068159260278</v>
      </c>
      <c r="G70" s="15">
        <f t="shared" si="6"/>
        <v>49666.863510798765</v>
      </c>
      <c r="H70" s="14">
        <f t="shared" ref="H70:H75" si="9">+G70/365*209</f>
        <v>28439.382119882033</v>
      </c>
      <c r="I70" s="14">
        <f t="shared" si="7"/>
        <v>2396.3163776654278</v>
      </c>
      <c r="J70" s="15">
        <f t="shared" si="8"/>
        <v>30835.698497547462</v>
      </c>
    </row>
    <row r="71" spans="1:10">
      <c r="A71" t="s">
        <v>173</v>
      </c>
      <c r="B71" s="1" t="s">
        <v>42</v>
      </c>
      <c r="C71" t="s">
        <v>174</v>
      </c>
      <c r="D71" s="8">
        <v>2017</v>
      </c>
      <c r="E71" s="14">
        <v>216549.35420061028</v>
      </c>
      <c r="F71" s="14">
        <v>144593.58930050122</v>
      </c>
      <c r="G71" s="15">
        <f t="shared" si="6"/>
        <v>71955.764900109061</v>
      </c>
      <c r="H71" s="14">
        <f t="shared" si="9"/>
        <v>41202.068120884367</v>
      </c>
      <c r="I71" s="14">
        <f t="shared" si="7"/>
        <v>3471.7066009228533</v>
      </c>
      <c r="J71" s="15">
        <f t="shared" si="8"/>
        <v>44673.774721807218</v>
      </c>
    </row>
    <row r="72" spans="1:10">
      <c r="A72" t="s">
        <v>175</v>
      </c>
      <c r="B72" s="1" t="s">
        <v>42</v>
      </c>
      <c r="C72" t="s">
        <v>176</v>
      </c>
      <c r="D72" s="8">
        <v>2018</v>
      </c>
      <c r="E72" s="14">
        <v>0</v>
      </c>
      <c r="F72" s="14">
        <v>0</v>
      </c>
      <c r="G72" s="15">
        <f t="shared" si="6"/>
        <v>0</v>
      </c>
      <c r="H72" s="14">
        <f t="shared" si="9"/>
        <v>0</v>
      </c>
      <c r="I72" s="14">
        <f t="shared" si="7"/>
        <v>0</v>
      </c>
      <c r="J72" s="15">
        <f t="shared" si="8"/>
        <v>0</v>
      </c>
    </row>
    <row r="73" spans="1:10">
      <c r="A73" t="s">
        <v>177</v>
      </c>
      <c r="B73" s="1" t="s">
        <v>42</v>
      </c>
      <c r="C73" t="s">
        <v>178</v>
      </c>
      <c r="D73" s="8">
        <v>2018</v>
      </c>
      <c r="E73" s="14">
        <v>0</v>
      </c>
      <c r="F73" s="14">
        <v>0</v>
      </c>
      <c r="G73" s="15">
        <f t="shared" si="6"/>
        <v>0</v>
      </c>
      <c r="H73" s="14">
        <f t="shared" si="9"/>
        <v>0</v>
      </c>
      <c r="I73" s="14">
        <f t="shared" si="7"/>
        <v>0</v>
      </c>
      <c r="J73" s="15">
        <f t="shared" si="8"/>
        <v>0</v>
      </c>
    </row>
    <row r="74" spans="1:10">
      <c r="A74" t="s">
        <v>179</v>
      </c>
      <c r="B74" s="1" t="s">
        <v>42</v>
      </c>
      <c r="C74" t="s">
        <v>180</v>
      </c>
      <c r="D74" s="8">
        <v>2018</v>
      </c>
      <c r="E74" s="14">
        <v>0</v>
      </c>
      <c r="F74" s="14">
        <v>0</v>
      </c>
      <c r="G74" s="15">
        <f t="shared" si="6"/>
        <v>0</v>
      </c>
      <c r="H74" s="14">
        <f t="shared" si="9"/>
        <v>0</v>
      </c>
      <c r="I74" s="14">
        <f t="shared" si="7"/>
        <v>0</v>
      </c>
      <c r="J74" s="15">
        <f t="shared" si="8"/>
        <v>0</v>
      </c>
    </row>
    <row r="75" spans="1:10">
      <c r="A75" t="s">
        <v>181</v>
      </c>
      <c r="B75" s="1" t="s">
        <v>42</v>
      </c>
      <c r="C75" t="s">
        <v>182</v>
      </c>
      <c r="D75" s="8">
        <v>2018</v>
      </c>
      <c r="E75" s="14">
        <v>0</v>
      </c>
      <c r="F75" s="14">
        <v>0</v>
      </c>
      <c r="G75" s="15">
        <f t="shared" si="6"/>
        <v>0</v>
      </c>
      <c r="H75" s="14">
        <f t="shared" si="9"/>
        <v>0</v>
      </c>
      <c r="I75" s="14">
        <f t="shared" si="7"/>
        <v>0</v>
      </c>
      <c r="J75" s="15">
        <f t="shared" si="8"/>
        <v>0</v>
      </c>
    </row>
    <row r="78" spans="1:10">
      <c r="E78" s="13"/>
      <c r="F78" s="13"/>
      <c r="G78" s="13"/>
      <c r="H78" s="13"/>
      <c r="I78" s="13"/>
      <c r="J78" s="13"/>
    </row>
    <row r="79" spans="1:10">
      <c r="E79" s="15">
        <f>SUM(E5:E78)</f>
        <v>727230.41960188013</v>
      </c>
      <c r="F79" s="15">
        <f>SUM(F5:F78)</f>
        <v>3047264.784671898</v>
      </c>
      <c r="G79" s="15">
        <f>SUM(G5:G78)</f>
        <v>-2320034.3650700175</v>
      </c>
      <c r="H79" s="15">
        <f>SUM(H5:H78)</f>
        <v>-1328458.0336976263</v>
      </c>
      <c r="I79" s="15">
        <f>+'2017 Interest Calculation'!P74</f>
        <v>-111936.52976607066</v>
      </c>
      <c r="J79" s="15">
        <f>SUM(J5:J28)</f>
        <v>-278463.6913199515</v>
      </c>
    </row>
  </sheetData>
  <pageMargins left="0.45" right="0.2" top="0.75" bottom="0.75" header="0.3" footer="0.3"/>
  <pageSetup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selection activeCell="C83" sqref="C83"/>
    </sheetView>
  </sheetViews>
  <sheetFormatPr defaultColWidth="9.140625" defaultRowHeight="12.75"/>
  <cols>
    <col min="1" max="1" width="1.7109375" style="21" customWidth="1"/>
    <col min="2" max="2" width="25.140625" style="21" customWidth="1"/>
    <col min="3" max="3" width="1.7109375" style="21" customWidth="1"/>
    <col min="4" max="4" width="21.28515625" style="21" customWidth="1"/>
    <col min="5" max="5" width="1.7109375" style="21" customWidth="1"/>
    <col min="6" max="6" width="22.28515625" style="21" customWidth="1"/>
    <col min="7" max="7" width="1.7109375" style="21" customWidth="1"/>
    <col min="8" max="8" width="17.28515625" style="21" customWidth="1"/>
    <col min="9" max="9" width="1.7109375" style="21" customWidth="1"/>
    <col min="10" max="10" width="15.5703125" style="21" customWidth="1"/>
    <col min="11" max="11" width="1.7109375" style="21" customWidth="1"/>
    <col min="12" max="12" width="15.85546875" style="21" customWidth="1"/>
    <col min="13" max="13" width="1.7109375" style="21" customWidth="1"/>
    <col min="14" max="14" width="13.5703125" style="21" customWidth="1"/>
    <col min="15" max="15" width="1.7109375" style="21" customWidth="1"/>
    <col min="16" max="16" width="14.140625" style="21" customWidth="1"/>
    <col min="17" max="17" width="1.7109375" style="21" customWidth="1"/>
    <col min="18" max="18" width="14.42578125" style="21" customWidth="1"/>
    <col min="19" max="19" width="7.7109375" style="21" bestFit="1" customWidth="1"/>
    <col min="20" max="20" width="6.140625" style="21" customWidth="1"/>
    <col min="21" max="16384" width="9.140625" style="21"/>
  </cols>
  <sheetData>
    <row r="1" spans="1:18" ht="15">
      <c r="A1" s="20"/>
    </row>
    <row r="2" spans="1:18" ht="15.75">
      <c r="A2" s="22"/>
    </row>
    <row r="3" spans="1:18" ht="15.75">
      <c r="A3" s="22"/>
    </row>
    <row r="4" spans="1:18" ht="15.75">
      <c r="B4" s="99" t="s">
        <v>11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18" ht="15.75">
      <c r="B5" s="100" t="s">
        <v>37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15.75">
      <c r="B6" s="101" t="s">
        <v>12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8" ht="16.5" thickBot="1">
      <c r="B7" s="23"/>
      <c r="C7" s="24"/>
      <c r="D7" s="24"/>
      <c r="E7" s="24"/>
      <c r="F7" s="24"/>
      <c r="G7" s="24"/>
      <c r="H7" s="24"/>
      <c r="I7" s="24"/>
      <c r="J7" s="24"/>
      <c r="K7" s="24"/>
      <c r="P7" s="24"/>
      <c r="Q7" s="24"/>
      <c r="R7" s="24"/>
    </row>
    <row r="8" spans="1:18" ht="60.75" customHeight="1">
      <c r="B8" s="23"/>
      <c r="C8" s="23"/>
      <c r="D8" s="23"/>
      <c r="E8" s="25"/>
      <c r="F8" s="26" t="s">
        <v>13</v>
      </c>
      <c r="G8" s="27"/>
      <c r="H8" s="28" t="s">
        <v>14</v>
      </c>
      <c r="I8" s="24"/>
      <c r="J8" s="29">
        <v>2017</v>
      </c>
      <c r="K8" s="24"/>
      <c r="P8" s="27"/>
      <c r="Q8" s="27"/>
      <c r="R8" s="27"/>
    </row>
    <row r="9" spans="1:18" ht="15.75">
      <c r="B9" s="23"/>
      <c r="C9" s="23"/>
      <c r="D9" s="23"/>
      <c r="E9" s="25"/>
      <c r="F9" s="30"/>
      <c r="G9" s="27"/>
      <c r="H9" s="31" t="s">
        <v>16</v>
      </c>
      <c r="I9" s="32"/>
      <c r="J9" s="33">
        <f>J8+1</f>
        <v>2018</v>
      </c>
      <c r="P9" s="27"/>
      <c r="Q9" s="27"/>
      <c r="R9" s="27"/>
    </row>
    <row r="10" spans="1:18" ht="16.5" thickBot="1">
      <c r="B10" s="23"/>
      <c r="C10" s="23"/>
      <c r="D10" s="23"/>
      <c r="E10" s="34"/>
      <c r="F10" s="35">
        <f>+'2017 Refund'!H79</f>
        <v>-1328458.0336976263</v>
      </c>
      <c r="G10" s="36"/>
      <c r="H10" s="31" t="s">
        <v>16</v>
      </c>
      <c r="I10" s="32"/>
      <c r="J10" s="33">
        <f>J9+1</f>
        <v>2019</v>
      </c>
      <c r="P10" s="27"/>
      <c r="Q10" s="27"/>
      <c r="R10" s="27"/>
    </row>
    <row r="11" spans="1:18" ht="15.75">
      <c r="B11" s="23"/>
      <c r="C11" s="23"/>
      <c r="D11" s="23"/>
      <c r="E11" s="37"/>
      <c r="F11" s="37"/>
      <c r="G11" s="37"/>
      <c r="H11" s="39" t="s">
        <v>17</v>
      </c>
      <c r="I11" s="37"/>
      <c r="J11" s="40">
        <v>2020</v>
      </c>
      <c r="P11" s="27"/>
      <c r="Q11" s="27"/>
      <c r="R11" s="27"/>
    </row>
    <row r="12" spans="1:18" ht="16.5" thickBot="1">
      <c r="B12" s="41"/>
      <c r="C12" s="42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3"/>
      <c r="O12" s="43"/>
      <c r="P12" s="43"/>
      <c r="Q12" s="43"/>
      <c r="R12" s="43"/>
    </row>
    <row r="13" spans="1:18" ht="15.75">
      <c r="B13" s="44"/>
      <c r="C13" s="38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27"/>
      <c r="O13" s="27"/>
      <c r="P13" s="27"/>
      <c r="Q13" s="27"/>
      <c r="R13" s="27"/>
    </row>
    <row r="14" spans="1:18" ht="63">
      <c r="B14" s="45" t="s">
        <v>18</v>
      </c>
      <c r="C14" s="38"/>
      <c r="D14" s="46" t="s">
        <v>19</v>
      </c>
      <c r="E14" s="46"/>
      <c r="F14" s="46" t="s">
        <v>20</v>
      </c>
      <c r="G14" s="46"/>
      <c r="H14" s="46" t="s">
        <v>21</v>
      </c>
      <c r="I14" s="37"/>
      <c r="J14" s="47" t="s">
        <v>22</v>
      </c>
      <c r="K14" s="37"/>
      <c r="L14" s="46" t="s">
        <v>23</v>
      </c>
      <c r="M14" s="48"/>
      <c r="N14" s="47" t="s">
        <v>24</v>
      </c>
      <c r="O14" s="47"/>
      <c r="P14" s="46" t="s">
        <v>25</v>
      </c>
      <c r="Q14" s="49"/>
      <c r="R14" s="46" t="s">
        <v>26</v>
      </c>
    </row>
    <row r="15" spans="1:18" ht="15.75">
      <c r="B15" s="50"/>
      <c r="C15" s="38"/>
      <c r="D15" s="27"/>
      <c r="E15" s="27"/>
      <c r="F15" s="27"/>
      <c r="G15" s="27"/>
      <c r="H15" s="27"/>
      <c r="I15" s="51"/>
      <c r="J15" s="51"/>
      <c r="K15" s="51"/>
      <c r="N15" s="27"/>
      <c r="O15" s="27"/>
      <c r="P15" s="27"/>
      <c r="Q15" s="27"/>
      <c r="R15" s="27"/>
    </row>
    <row r="16" spans="1:18" ht="15.75">
      <c r="B16" s="52" t="s">
        <v>27</v>
      </c>
      <c r="C16" s="38"/>
      <c r="D16" s="38"/>
      <c r="E16" s="38"/>
      <c r="F16" s="38"/>
      <c r="G16" s="38"/>
      <c r="H16" s="38"/>
      <c r="I16" s="38"/>
      <c r="J16" s="38"/>
      <c r="K16" s="38"/>
      <c r="L16" s="27"/>
      <c r="M16" s="27"/>
      <c r="N16" s="48"/>
      <c r="O16" s="48"/>
      <c r="P16" s="38"/>
      <c r="Q16" s="38"/>
      <c r="R16" s="38"/>
    </row>
    <row r="17" spans="2:20" ht="15.75">
      <c r="B17" s="53" t="s">
        <v>28</v>
      </c>
      <c r="C17" s="38"/>
      <c r="D17" s="38"/>
      <c r="E17" s="38"/>
      <c r="F17" s="38"/>
      <c r="G17" s="38"/>
      <c r="H17" s="38"/>
      <c r="I17" s="38"/>
      <c r="J17" s="38"/>
      <c r="K17" s="38"/>
      <c r="L17" s="27"/>
      <c r="M17" s="27"/>
      <c r="N17" s="48"/>
      <c r="O17" s="48"/>
      <c r="P17" s="38"/>
      <c r="Q17" s="38"/>
      <c r="R17" s="38"/>
    </row>
    <row r="18" spans="2:20" ht="15.75">
      <c r="B18" s="54"/>
      <c r="C18" s="24"/>
      <c r="D18" s="55"/>
      <c r="E18" s="56"/>
      <c r="F18" s="55"/>
      <c r="G18" s="55"/>
      <c r="H18" s="55"/>
      <c r="I18" s="55"/>
      <c r="J18" s="55"/>
      <c r="K18" s="56"/>
      <c r="L18" s="57"/>
      <c r="M18" s="58"/>
      <c r="N18" s="55"/>
      <c r="O18" s="55"/>
      <c r="P18" s="55"/>
      <c r="Q18" s="55"/>
      <c r="R18" s="55"/>
    </row>
    <row r="19" spans="2:20" ht="15.75">
      <c r="B19" s="54"/>
      <c r="C19" s="24"/>
      <c r="D19" s="55"/>
      <c r="E19" s="56"/>
      <c r="F19" s="55"/>
      <c r="G19" s="55"/>
      <c r="H19" s="55"/>
      <c r="I19" s="55"/>
      <c r="J19" s="55"/>
      <c r="K19" s="56"/>
      <c r="L19" s="57"/>
      <c r="M19" s="59"/>
      <c r="N19" s="55"/>
      <c r="O19" s="55"/>
      <c r="P19" s="55"/>
      <c r="Q19" s="55"/>
      <c r="R19" s="55"/>
    </row>
    <row r="20" spans="2:20" ht="15.75">
      <c r="B20" s="54">
        <f>DATE($J$8,T20,5)</f>
        <v>42891</v>
      </c>
      <c r="C20" s="24"/>
      <c r="D20" s="55">
        <f>+F10/209*25</f>
        <v>-158906.46336096007</v>
      </c>
      <c r="E20" s="56"/>
      <c r="F20" s="55">
        <f>D19+F19</f>
        <v>0</v>
      </c>
      <c r="G20" s="55"/>
      <c r="H20" s="55">
        <f>SUM($N$18:$N$18)</f>
        <v>0</v>
      </c>
      <c r="I20" s="55"/>
      <c r="J20" s="55">
        <f t="shared" ref="J20:J25" si="0">F20+H20</f>
        <v>0</v>
      </c>
      <c r="K20" s="56"/>
      <c r="L20" s="57">
        <v>3.0000000000000001E-3</v>
      </c>
      <c r="M20" s="59"/>
      <c r="N20" s="55">
        <f t="shared" ref="N20:N26" si="1">J20*L20</f>
        <v>0</v>
      </c>
      <c r="O20" s="55"/>
      <c r="P20" s="55"/>
      <c r="Q20" s="55"/>
      <c r="R20" s="55">
        <f>SUM($D$18:D20)+SUM($N$18:N20)</f>
        <v>-158906.46336096007</v>
      </c>
      <c r="T20" s="21">
        <v>6</v>
      </c>
    </row>
    <row r="21" spans="2:20" ht="15.75">
      <c r="B21" s="54">
        <f t="shared" ref="B21:B26" si="2">DATE($J$8,T21,1)</f>
        <v>42917</v>
      </c>
      <c r="C21" s="24"/>
      <c r="D21" s="55">
        <f>+$F$10/209*31</f>
        <v>-197044.01456759049</v>
      </c>
      <c r="E21" s="56"/>
      <c r="F21" s="55">
        <f t="shared" ref="F21:F24" si="3">D20+F20</f>
        <v>-158906.46336096007</v>
      </c>
      <c r="G21" s="55"/>
      <c r="H21" s="55">
        <f>$H$20+SUM($N$19:$N$20)</f>
        <v>0</v>
      </c>
      <c r="I21" s="55"/>
      <c r="J21" s="55">
        <f t="shared" si="0"/>
        <v>-158906.46336096007</v>
      </c>
      <c r="K21" s="56"/>
      <c r="L21" s="57">
        <v>3.3999999999999998E-3</v>
      </c>
      <c r="M21" s="59"/>
      <c r="N21" s="55">
        <f t="shared" si="1"/>
        <v>-540.28197542726423</v>
      </c>
      <c r="O21" s="55"/>
      <c r="P21" s="55"/>
      <c r="Q21" s="55"/>
      <c r="R21" s="55">
        <f>SUM($D$18:D21)+SUM($N$18:N21)</f>
        <v>-356490.75990397786</v>
      </c>
      <c r="T21" s="21">
        <v>7</v>
      </c>
    </row>
    <row r="22" spans="2:20" ht="15.75">
      <c r="B22" s="54">
        <f t="shared" si="2"/>
        <v>42948</v>
      </c>
      <c r="C22" s="24"/>
      <c r="D22" s="55">
        <f>+$F$10/209*31</f>
        <v>-197044.01456759049</v>
      </c>
      <c r="E22" s="56"/>
      <c r="F22" s="55">
        <f t="shared" si="3"/>
        <v>-355950.47792855056</v>
      </c>
      <c r="G22" s="55"/>
      <c r="H22" s="55">
        <f>$H$20+SUM($N$19:$N$20)</f>
        <v>0</v>
      </c>
      <c r="I22" s="55"/>
      <c r="J22" s="55">
        <f t="shared" si="0"/>
        <v>-355950.47792855056</v>
      </c>
      <c r="K22" s="56"/>
      <c r="L22" s="57">
        <v>3.3999999999999998E-3</v>
      </c>
      <c r="M22" s="59"/>
      <c r="N22" s="55">
        <f t="shared" si="1"/>
        <v>-1210.2316249570717</v>
      </c>
      <c r="O22" s="55"/>
      <c r="P22" s="55"/>
      <c r="Q22" s="55"/>
      <c r="R22" s="55">
        <f>SUM($D$18:D22)+SUM($N$18:N22)</f>
        <v>-554745.00609652535</v>
      </c>
      <c r="T22" s="21">
        <v>8</v>
      </c>
    </row>
    <row r="23" spans="2:20" ht="15.75">
      <c r="B23" s="54">
        <f t="shared" si="2"/>
        <v>42979</v>
      </c>
      <c r="C23" s="24"/>
      <c r="D23" s="55">
        <f>+$F$10/209*30</f>
        <v>-190687.75603315211</v>
      </c>
      <c r="E23" s="56"/>
      <c r="F23" s="55">
        <f t="shared" si="3"/>
        <v>-552994.492496141</v>
      </c>
      <c r="G23" s="55"/>
      <c r="H23" s="55">
        <f>$H$20+SUM($N$19:$N$20)</f>
        <v>0</v>
      </c>
      <c r="I23" s="55"/>
      <c r="J23" s="55">
        <f t="shared" si="0"/>
        <v>-552994.492496141</v>
      </c>
      <c r="K23" s="56"/>
      <c r="L23" s="57">
        <v>3.3E-3</v>
      </c>
      <c r="M23" s="59"/>
      <c r="N23" s="55">
        <f t="shared" si="1"/>
        <v>-1824.8818252372653</v>
      </c>
      <c r="O23" s="55"/>
      <c r="P23" s="55"/>
      <c r="Q23" s="55"/>
      <c r="R23" s="55">
        <f>SUM($D$18:D23)+SUM($N$18:N23)</f>
        <v>-747257.64395491476</v>
      </c>
      <c r="T23" s="21">
        <v>9</v>
      </c>
    </row>
    <row r="24" spans="2:20" ht="15.75">
      <c r="B24" s="54">
        <f t="shared" si="2"/>
        <v>43009</v>
      </c>
      <c r="C24" s="24"/>
      <c r="D24" s="55">
        <f>+$F$10/209*31</f>
        <v>-197044.01456759049</v>
      </c>
      <c r="E24" s="56"/>
      <c r="F24" s="55">
        <f t="shared" si="3"/>
        <v>-743682.24852929311</v>
      </c>
      <c r="G24" s="55"/>
      <c r="H24" s="55">
        <f>$H$23+SUM($N$21:$N$23)</f>
        <v>-3575.3954256216011</v>
      </c>
      <c r="I24" s="55"/>
      <c r="J24" s="55">
        <f t="shared" si="0"/>
        <v>-747257.64395491476</v>
      </c>
      <c r="K24" s="56"/>
      <c r="L24" s="57">
        <v>3.5999999999999999E-3</v>
      </c>
      <c r="M24" s="59"/>
      <c r="N24" s="55">
        <f t="shared" si="1"/>
        <v>-2690.127518237693</v>
      </c>
      <c r="O24" s="55"/>
      <c r="P24" s="55"/>
      <c r="Q24" s="55"/>
      <c r="R24" s="55">
        <f>SUM($D$18:D24)+SUM($N$18:N24)</f>
        <v>-946991.786040743</v>
      </c>
      <c r="T24" s="21">
        <v>10</v>
      </c>
    </row>
    <row r="25" spans="2:20" ht="15.75">
      <c r="B25" s="54">
        <f t="shared" si="2"/>
        <v>43040</v>
      </c>
      <c r="C25" s="24"/>
      <c r="D25" s="55">
        <f>+$F$10/209*30</f>
        <v>-190687.75603315211</v>
      </c>
      <c r="E25" s="56"/>
      <c r="F25" s="55">
        <f>D24+F24</f>
        <v>-940726.26309688366</v>
      </c>
      <c r="G25" s="55"/>
      <c r="H25" s="55">
        <f>$H$23+SUM($N$21:$N$23)</f>
        <v>-3575.3954256216011</v>
      </c>
      <c r="I25" s="55"/>
      <c r="J25" s="55">
        <f t="shared" si="0"/>
        <v>-944301.65852250531</v>
      </c>
      <c r="K25" s="56"/>
      <c r="L25" s="57">
        <v>3.5000000000000001E-3</v>
      </c>
      <c r="M25" s="59"/>
      <c r="N25" s="55">
        <f t="shared" si="1"/>
        <v>-3305.0558048287685</v>
      </c>
      <c r="O25" s="55"/>
      <c r="P25" s="55"/>
      <c r="Q25" s="55"/>
      <c r="R25" s="55">
        <f>SUM($D$18:D25)+SUM($N$18:N25)</f>
        <v>-1140984.5978787239</v>
      </c>
      <c r="T25" s="21">
        <v>11</v>
      </c>
    </row>
    <row r="26" spans="2:20" ht="15.75">
      <c r="B26" s="54">
        <f t="shared" si="2"/>
        <v>43070</v>
      </c>
      <c r="C26" s="24"/>
      <c r="D26" s="55">
        <f>+$F$10/209*31</f>
        <v>-197044.01456759049</v>
      </c>
      <c r="E26" s="56"/>
      <c r="F26" s="55">
        <f>D25+F25</f>
        <v>-1131414.0191300358</v>
      </c>
      <c r="G26" s="55"/>
      <c r="H26" s="55">
        <f>$H$23+SUM($N$21:$N$23)</f>
        <v>-3575.3954256216011</v>
      </c>
      <c r="I26" s="55"/>
      <c r="J26" s="55">
        <f>F26+H26</f>
        <v>-1134989.4145556574</v>
      </c>
      <c r="K26" s="56"/>
      <c r="L26" s="57">
        <v>3.5999999999999999E-3</v>
      </c>
      <c r="M26" s="59"/>
      <c r="N26" s="55">
        <f t="shared" si="1"/>
        <v>-4085.9618924003667</v>
      </c>
      <c r="O26" s="60"/>
      <c r="P26" s="55"/>
      <c r="Q26" s="55"/>
      <c r="R26" s="55">
        <f>SUM($D$18:D26)+SUM($N$18:N26)</f>
        <v>-1342114.5743387148</v>
      </c>
      <c r="T26" s="21">
        <v>12</v>
      </c>
    </row>
    <row r="27" spans="2:20" ht="15.75">
      <c r="B27" s="24"/>
      <c r="C27" s="24"/>
      <c r="D27" s="55"/>
      <c r="E27" s="56"/>
      <c r="F27" s="55"/>
      <c r="G27" s="55"/>
      <c r="H27" s="55"/>
      <c r="I27" s="55"/>
      <c r="J27" s="55"/>
      <c r="K27" s="56"/>
      <c r="L27" s="61"/>
      <c r="M27" s="62"/>
      <c r="N27" s="60"/>
      <c r="O27" s="60"/>
      <c r="P27" s="55"/>
      <c r="Q27" s="55"/>
      <c r="R27" s="63"/>
    </row>
    <row r="28" spans="2:20" ht="15.75">
      <c r="B28" s="53" t="s">
        <v>29</v>
      </c>
      <c r="C28" s="24"/>
      <c r="D28" s="55"/>
      <c r="E28" s="56"/>
      <c r="F28" s="55"/>
      <c r="G28" s="55"/>
      <c r="H28" s="55"/>
      <c r="I28" s="55"/>
      <c r="J28" s="55"/>
      <c r="K28" s="56"/>
      <c r="L28" s="38"/>
      <c r="M28" s="24"/>
      <c r="N28" s="55"/>
      <c r="O28" s="55"/>
      <c r="P28" s="55" t="s">
        <v>15</v>
      </c>
      <c r="Q28" s="55"/>
      <c r="R28" s="64"/>
    </row>
    <row r="29" spans="2:20" ht="15.75">
      <c r="B29" s="54">
        <f t="shared" ref="B29:B40" si="4">DATE($J$9,T29,1)</f>
        <v>43101</v>
      </c>
      <c r="C29" s="24"/>
      <c r="D29" s="55">
        <v>0</v>
      </c>
      <c r="E29" s="56"/>
      <c r="F29" s="55">
        <f>D26+F26</f>
        <v>-1328458.0336976263</v>
      </c>
      <c r="G29" s="55"/>
      <c r="H29" s="55">
        <f>$H$26+SUM($N$24:$N$26)</f>
        <v>-13656.540641088428</v>
      </c>
      <c r="I29" s="55"/>
      <c r="J29" s="55">
        <f>F29+H29</f>
        <v>-1342114.5743387148</v>
      </c>
      <c r="K29" s="56"/>
      <c r="L29" s="57">
        <v>3.5999999999999999E-3</v>
      </c>
      <c r="M29" s="58"/>
      <c r="N29" s="55">
        <f t="shared" ref="N29:N40" si="5">J29*L29</f>
        <v>-4831.6124676193731</v>
      </c>
      <c r="O29" s="55"/>
      <c r="P29" s="55"/>
      <c r="Q29" s="55"/>
      <c r="R29" s="55">
        <f>SUM($D$18:D29)+SUM($N$18:N29)</f>
        <v>-1346946.1868063342</v>
      </c>
      <c r="T29" s="21">
        <v>1</v>
      </c>
    </row>
    <row r="30" spans="2:20" ht="15.75">
      <c r="B30" s="54">
        <f t="shared" si="4"/>
        <v>43132</v>
      </c>
      <c r="C30" s="24"/>
      <c r="D30" s="55">
        <v>0</v>
      </c>
      <c r="E30" s="56"/>
      <c r="F30" s="55">
        <f>D29+F29</f>
        <v>-1328458.0336976263</v>
      </c>
      <c r="G30" s="55"/>
      <c r="H30" s="55">
        <f>$H$26+SUM($N$24:$N$26)</f>
        <v>-13656.540641088428</v>
      </c>
      <c r="I30" s="55"/>
      <c r="J30" s="55">
        <f>F30+H30</f>
        <v>-1342114.5743387148</v>
      </c>
      <c r="K30" s="56"/>
      <c r="L30" s="57">
        <v>3.3E-3</v>
      </c>
      <c r="M30" s="59"/>
      <c r="N30" s="55">
        <f t="shared" si="5"/>
        <v>-4428.9780953177587</v>
      </c>
      <c r="O30" s="55"/>
      <c r="P30" s="55"/>
      <c r="Q30" s="55"/>
      <c r="R30" s="55">
        <f>SUM($D$18:D30)+SUM($N$18:N30)</f>
        <v>-1351375.1649016519</v>
      </c>
      <c r="T30" s="21">
        <v>2</v>
      </c>
    </row>
    <row r="31" spans="2:20" ht="15.75">
      <c r="B31" s="54">
        <f t="shared" si="4"/>
        <v>43160</v>
      </c>
      <c r="C31" s="24"/>
      <c r="D31" s="55">
        <v>0</v>
      </c>
      <c r="E31" s="56"/>
      <c r="F31" s="55">
        <f t="shared" ref="F31:F39" si="6">D30+F30</f>
        <v>-1328458.0336976263</v>
      </c>
      <c r="G31" s="55"/>
      <c r="H31" s="55">
        <f>$H$26+SUM($N$24:$N$26)</f>
        <v>-13656.540641088428</v>
      </c>
      <c r="I31" s="55"/>
      <c r="J31" s="55">
        <f t="shared" ref="J31:J37" si="7">F31+H31</f>
        <v>-1342114.5743387148</v>
      </c>
      <c r="K31" s="56"/>
      <c r="L31" s="57">
        <v>3.5999999999999999E-3</v>
      </c>
      <c r="M31" s="59"/>
      <c r="N31" s="55">
        <f t="shared" si="5"/>
        <v>-4831.6124676193731</v>
      </c>
      <c r="O31" s="55"/>
      <c r="P31" s="55"/>
      <c r="Q31" s="55"/>
      <c r="R31" s="55">
        <f>SUM($D$18:D31)+SUM($N$18:N31)</f>
        <v>-1356206.7773692713</v>
      </c>
      <c r="T31" s="21">
        <v>3</v>
      </c>
    </row>
    <row r="32" spans="2:20" ht="15.75">
      <c r="B32" s="54">
        <f t="shared" si="4"/>
        <v>43191</v>
      </c>
      <c r="C32" s="24"/>
      <c r="D32" s="55">
        <v>0</v>
      </c>
      <c r="E32" s="56"/>
      <c r="F32" s="55">
        <f t="shared" si="6"/>
        <v>-1328458.0336976263</v>
      </c>
      <c r="G32" s="55"/>
      <c r="H32" s="55">
        <f>$H$31+SUM($N$29:$N$31)</f>
        <v>-27748.743671644934</v>
      </c>
      <c r="I32" s="55"/>
      <c r="J32" s="55">
        <f>F32+H32</f>
        <v>-1356206.7773692713</v>
      </c>
      <c r="K32" s="56"/>
      <c r="L32" s="57">
        <v>3.7000000000000002E-3</v>
      </c>
      <c r="M32" s="59"/>
      <c r="N32" s="55">
        <f t="shared" si="5"/>
        <v>-5017.9650762663041</v>
      </c>
      <c r="O32" s="55"/>
      <c r="P32" s="55"/>
      <c r="Q32" s="55"/>
      <c r="R32" s="55">
        <f>SUM($D$18:D32)+SUM($N$18:N32)</f>
        <v>-1361224.7424455376</v>
      </c>
      <c r="T32" s="21">
        <v>4</v>
      </c>
    </row>
    <row r="33" spans="2:20" ht="15.75">
      <c r="B33" s="54">
        <f t="shared" si="4"/>
        <v>43221</v>
      </c>
      <c r="C33" s="24"/>
      <c r="D33" s="55">
        <v>0</v>
      </c>
      <c r="E33" s="56"/>
      <c r="F33" s="55">
        <f t="shared" si="6"/>
        <v>-1328458.0336976263</v>
      </c>
      <c r="G33" s="55"/>
      <c r="H33" s="55">
        <f>$H$31+SUM($N$29:$N$31)</f>
        <v>-27748.743671644934</v>
      </c>
      <c r="I33" s="55"/>
      <c r="J33" s="55">
        <f t="shared" si="7"/>
        <v>-1356206.7773692713</v>
      </c>
      <c r="K33" s="56"/>
      <c r="L33" s="57">
        <v>3.8E-3</v>
      </c>
      <c r="M33" s="59"/>
      <c r="N33" s="55">
        <f t="shared" si="5"/>
        <v>-5153.5857540032312</v>
      </c>
      <c r="O33" s="55"/>
      <c r="P33" s="55"/>
      <c r="Q33" s="55"/>
      <c r="R33" s="55">
        <f>SUM($D$18:D33)+SUM($N$18:N33)</f>
        <v>-1366378.3281995407</v>
      </c>
      <c r="T33" s="21">
        <v>5</v>
      </c>
    </row>
    <row r="34" spans="2:20" ht="15.75">
      <c r="B34" s="54">
        <f t="shared" si="4"/>
        <v>43252</v>
      </c>
      <c r="C34" s="24"/>
      <c r="D34" s="55">
        <v>0</v>
      </c>
      <c r="E34" s="56"/>
      <c r="F34" s="55">
        <f t="shared" si="6"/>
        <v>-1328458.0336976263</v>
      </c>
      <c r="G34" s="55"/>
      <c r="H34" s="55">
        <f>$H$31+SUM($N$29:$N$31)</f>
        <v>-27748.743671644934</v>
      </c>
      <c r="I34" s="55"/>
      <c r="J34" s="55">
        <f t="shared" si="7"/>
        <v>-1356206.7773692713</v>
      </c>
      <c r="K34" s="56"/>
      <c r="L34" s="57">
        <v>3.7000000000000002E-3</v>
      </c>
      <c r="M34" s="59"/>
      <c r="N34" s="55">
        <f t="shared" si="5"/>
        <v>-5017.9650762663041</v>
      </c>
      <c r="O34" s="55"/>
      <c r="P34" s="55"/>
      <c r="Q34" s="55"/>
      <c r="R34" s="55">
        <f>SUM($D$18:D34)+SUM($N$18:N34)</f>
        <v>-1371396.2932758071</v>
      </c>
      <c r="T34" s="21">
        <v>6</v>
      </c>
    </row>
    <row r="35" spans="2:20" ht="15.75">
      <c r="B35" s="54">
        <f t="shared" si="4"/>
        <v>43282</v>
      </c>
      <c r="C35" s="24"/>
      <c r="D35" s="55">
        <v>0</v>
      </c>
      <c r="E35" s="56"/>
      <c r="F35" s="55">
        <f t="shared" si="6"/>
        <v>-1328458.0336976263</v>
      </c>
      <c r="G35" s="55"/>
      <c r="H35" s="55">
        <f>$H$34+SUM($N$32:$N$34)</f>
        <v>-42938.259578180776</v>
      </c>
      <c r="I35" s="55"/>
      <c r="J35" s="55">
        <f>F35+H35</f>
        <v>-1371396.2932758071</v>
      </c>
      <c r="K35" s="56"/>
      <c r="L35" s="57">
        <v>4.0000000000000001E-3</v>
      </c>
      <c r="M35" s="59"/>
      <c r="N35" s="55">
        <f t="shared" si="5"/>
        <v>-5485.585173103228</v>
      </c>
      <c r="O35" s="55"/>
      <c r="P35" s="55"/>
      <c r="Q35" s="55"/>
      <c r="R35" s="55">
        <f>SUM($D$18:D35)+SUM($N$18:N35)</f>
        <v>-1376881.8784489103</v>
      </c>
      <c r="T35" s="21">
        <v>7</v>
      </c>
    </row>
    <row r="36" spans="2:20" ht="15.75">
      <c r="B36" s="54">
        <f t="shared" si="4"/>
        <v>43313</v>
      </c>
      <c r="C36" s="24"/>
      <c r="D36" s="55">
        <v>0</v>
      </c>
      <c r="E36" s="56"/>
      <c r="F36" s="55">
        <f t="shared" si="6"/>
        <v>-1328458.0336976263</v>
      </c>
      <c r="G36" s="55"/>
      <c r="H36" s="55">
        <f>$H$34+SUM($N$32:$N$34)</f>
        <v>-42938.259578180776</v>
      </c>
      <c r="I36" s="55"/>
      <c r="J36" s="55">
        <f t="shared" si="7"/>
        <v>-1371396.2932758071</v>
      </c>
      <c r="K36" s="56"/>
      <c r="L36" s="57">
        <v>4.0000000000000001E-3</v>
      </c>
      <c r="M36" s="59"/>
      <c r="N36" s="55">
        <f t="shared" si="5"/>
        <v>-5485.585173103228</v>
      </c>
      <c r="O36" s="55"/>
      <c r="P36" s="55"/>
      <c r="Q36" s="55"/>
      <c r="R36" s="55">
        <f>SUM($D$18:D36)+SUM($N$18:N36)</f>
        <v>-1382367.4636220136</v>
      </c>
      <c r="T36" s="21">
        <v>8</v>
      </c>
    </row>
    <row r="37" spans="2:20" ht="15.75">
      <c r="B37" s="54">
        <f t="shared" si="4"/>
        <v>43344</v>
      </c>
      <c r="C37" s="24"/>
      <c r="D37" s="55">
        <v>0</v>
      </c>
      <c r="E37" s="56"/>
      <c r="F37" s="55">
        <f t="shared" si="6"/>
        <v>-1328458.0336976263</v>
      </c>
      <c r="G37" s="55"/>
      <c r="H37" s="55">
        <f>$H$34+SUM($N$32:$N$34)</f>
        <v>-42938.259578180776</v>
      </c>
      <c r="I37" s="55"/>
      <c r="J37" s="55">
        <f t="shared" si="7"/>
        <v>-1371396.2932758071</v>
      </c>
      <c r="K37" s="56"/>
      <c r="L37" s="57">
        <v>3.8999999999999998E-3</v>
      </c>
      <c r="M37" s="59"/>
      <c r="N37" s="55">
        <f t="shared" si="5"/>
        <v>-5348.4455437756469</v>
      </c>
      <c r="O37" s="55"/>
      <c r="P37" s="55"/>
      <c r="Q37" s="55"/>
      <c r="R37" s="55">
        <f>SUM($D$18:D37)+SUM($N$18:N37)</f>
        <v>-1387715.9091657891</v>
      </c>
      <c r="T37" s="21">
        <v>9</v>
      </c>
    </row>
    <row r="38" spans="2:20" ht="15.75">
      <c r="B38" s="54">
        <f t="shared" si="4"/>
        <v>43374</v>
      </c>
      <c r="C38" s="24"/>
      <c r="D38" s="55">
        <v>0</v>
      </c>
      <c r="E38" s="56"/>
      <c r="F38" s="55">
        <f t="shared" si="6"/>
        <v>-1328458.0336976263</v>
      </c>
      <c r="G38" s="55"/>
      <c r="H38" s="55">
        <f>$H$37+SUM($N$35:$N$37)</f>
        <v>-59257.875468162878</v>
      </c>
      <c r="I38" s="55"/>
      <c r="J38" s="55">
        <f>F38+H38</f>
        <v>-1387715.9091657891</v>
      </c>
      <c r="K38" s="56"/>
      <c r="L38" s="57">
        <v>4.1999999999999997E-3</v>
      </c>
      <c r="M38" s="59"/>
      <c r="N38" s="55">
        <f t="shared" si="5"/>
        <v>-5828.4068184963144</v>
      </c>
      <c r="O38" s="55"/>
      <c r="P38" s="55"/>
      <c r="Q38" s="55"/>
      <c r="R38" s="55">
        <f>SUM($D$18:D38)+SUM($N$18:N38)</f>
        <v>-1393544.3159842854</v>
      </c>
      <c r="T38" s="21">
        <v>10</v>
      </c>
    </row>
    <row r="39" spans="2:20" ht="15.75">
      <c r="B39" s="54">
        <f t="shared" si="4"/>
        <v>43405</v>
      </c>
      <c r="C39" s="24"/>
      <c r="D39" s="55">
        <v>0</v>
      </c>
      <c r="E39" s="56"/>
      <c r="F39" s="55">
        <f t="shared" si="6"/>
        <v>-1328458.0336976263</v>
      </c>
      <c r="G39" s="55"/>
      <c r="H39" s="55">
        <f>$H$37+SUM($N$35:$N$37)</f>
        <v>-59257.875468162878</v>
      </c>
      <c r="I39" s="55"/>
      <c r="J39" s="55">
        <f>F39+H39</f>
        <v>-1387715.9091657891</v>
      </c>
      <c r="K39" s="56"/>
      <c r="L39" s="57">
        <v>4.1000000000000003E-3</v>
      </c>
      <c r="M39" s="59"/>
      <c r="N39" s="55">
        <f t="shared" si="5"/>
        <v>-5689.6352275797362</v>
      </c>
      <c r="O39" s="55"/>
      <c r="P39" s="55"/>
      <c r="Q39" s="55"/>
      <c r="R39" s="55">
        <f>SUM($D$18:D39)+SUM($N$18:N39)</f>
        <v>-1399233.9512118653</v>
      </c>
      <c r="T39" s="21">
        <v>11</v>
      </c>
    </row>
    <row r="40" spans="2:20" ht="15.75">
      <c r="B40" s="54">
        <f t="shared" si="4"/>
        <v>43435</v>
      </c>
      <c r="C40" s="24"/>
      <c r="D40" s="55">
        <v>0</v>
      </c>
      <c r="E40" s="56"/>
      <c r="F40" s="55">
        <f>D39+F39</f>
        <v>-1328458.0336976263</v>
      </c>
      <c r="G40" s="55"/>
      <c r="H40" s="55">
        <f>$H$37+SUM($N$35:$N$37)</f>
        <v>-59257.875468162878</v>
      </c>
      <c r="I40" s="55"/>
      <c r="J40" s="55">
        <f>F40+H40</f>
        <v>-1387715.9091657891</v>
      </c>
      <c r="K40" s="56"/>
      <c r="L40" s="57">
        <v>4.1999999999999997E-3</v>
      </c>
      <c r="M40" s="59"/>
      <c r="N40" s="55">
        <f t="shared" si="5"/>
        <v>-5828.4068184963144</v>
      </c>
      <c r="O40" s="60"/>
      <c r="P40" s="55"/>
      <c r="Q40" s="55"/>
      <c r="R40" s="55">
        <f>SUM($D$18:D40)+SUM($N$18:N40)</f>
        <v>-1405062.3580303616</v>
      </c>
      <c r="T40" s="21">
        <v>12</v>
      </c>
    </row>
    <row r="41" spans="2:20" ht="15.75">
      <c r="B41" s="24"/>
      <c r="C41" s="24"/>
      <c r="D41" s="55"/>
      <c r="E41" s="37"/>
      <c r="F41" s="55"/>
      <c r="G41" s="55"/>
      <c r="H41" s="55"/>
      <c r="I41" s="55"/>
      <c r="J41" s="55"/>
      <c r="K41" s="37"/>
      <c r="L41" s="38"/>
      <c r="M41" s="24"/>
      <c r="N41" s="65"/>
      <c r="O41" s="65"/>
      <c r="P41" s="55"/>
      <c r="Q41" s="55"/>
      <c r="R41" s="55"/>
      <c r="T41" s="66"/>
    </row>
    <row r="42" spans="2:20" ht="15.75">
      <c r="B42" s="53" t="s">
        <v>29</v>
      </c>
      <c r="C42" s="24"/>
      <c r="D42" s="55"/>
      <c r="E42" s="56"/>
      <c r="F42" s="55"/>
      <c r="G42" s="55"/>
      <c r="H42" s="55"/>
      <c r="I42" s="55"/>
      <c r="J42" s="55"/>
      <c r="K42" s="56"/>
      <c r="L42" s="38"/>
      <c r="M42" s="24"/>
      <c r="N42" s="55"/>
      <c r="O42" s="55"/>
      <c r="P42" s="55" t="s">
        <v>15</v>
      </c>
      <c r="Q42" s="55"/>
      <c r="R42" s="64"/>
    </row>
    <row r="43" spans="2:20" ht="15.75">
      <c r="B43" s="54">
        <f>DATE($J$10,T43,1)</f>
        <v>43466</v>
      </c>
      <c r="C43" s="24"/>
      <c r="D43" s="55">
        <v>0</v>
      </c>
      <c r="E43" s="56"/>
      <c r="F43" s="55">
        <f>D40+F40</f>
        <v>-1328458.0336976263</v>
      </c>
      <c r="G43" s="55"/>
      <c r="H43" s="55">
        <f>$H$26+SUM($N$24:$N$26)</f>
        <v>-13656.540641088428</v>
      </c>
      <c r="I43" s="55"/>
      <c r="J43" s="55">
        <f>F43+H43</f>
        <v>-1342114.5743387148</v>
      </c>
      <c r="K43" s="56"/>
      <c r="L43" s="57">
        <v>3.8416666666666668E-3</v>
      </c>
      <c r="M43" s="58"/>
      <c r="N43" s="55">
        <f t="shared" ref="N43:N54" si="8">J43*L43</f>
        <v>-5155.9568230845634</v>
      </c>
      <c r="O43" s="55"/>
      <c r="P43" s="55"/>
      <c r="Q43" s="55"/>
      <c r="R43" s="55">
        <f>SUM($D$18:D43)+SUM($N$18:N43)</f>
        <v>-1410218.3148534461</v>
      </c>
      <c r="T43" s="21">
        <v>1</v>
      </c>
    </row>
    <row r="44" spans="2:20" ht="15.75">
      <c r="B44" s="54">
        <f t="shared" ref="B44:B54" si="9">DATE($J$10,T44,1)</f>
        <v>43497</v>
      </c>
      <c r="C44" s="24"/>
      <c r="D44" s="55">
        <v>0</v>
      </c>
      <c r="E44" s="56"/>
      <c r="F44" s="55">
        <f>D43+F43</f>
        <v>-1328458.0336976263</v>
      </c>
      <c r="G44" s="55"/>
      <c r="H44" s="55">
        <f>$H$26+SUM($N$24:$N$26)</f>
        <v>-13656.540641088428</v>
      </c>
      <c r="I44" s="55"/>
      <c r="J44" s="55">
        <f>F44+H44</f>
        <v>-1342114.5743387148</v>
      </c>
      <c r="K44" s="56"/>
      <c r="L44" s="57">
        <v>3.8416666666666668E-3</v>
      </c>
      <c r="M44" s="59"/>
      <c r="N44" s="55">
        <f t="shared" si="8"/>
        <v>-5155.9568230845634</v>
      </c>
      <c r="O44" s="55"/>
      <c r="P44" s="55"/>
      <c r="Q44" s="55"/>
      <c r="R44" s="55">
        <f>SUM($D$18:D44)+SUM($N$18:N44)</f>
        <v>-1415374.2716765306</v>
      </c>
      <c r="T44" s="21">
        <v>2</v>
      </c>
    </row>
    <row r="45" spans="2:20" ht="15.75">
      <c r="B45" s="54">
        <f t="shared" si="9"/>
        <v>43525</v>
      </c>
      <c r="C45" s="24"/>
      <c r="D45" s="55">
        <v>0</v>
      </c>
      <c r="E45" s="56"/>
      <c r="F45" s="55">
        <f t="shared" ref="F45:F53" si="10">D44+F44</f>
        <v>-1328458.0336976263</v>
      </c>
      <c r="G45" s="55"/>
      <c r="H45" s="55">
        <f>$H$26+SUM($N$24:$N$26)</f>
        <v>-13656.540641088428</v>
      </c>
      <c r="I45" s="55"/>
      <c r="J45" s="55">
        <f t="shared" ref="J45" si="11">F45+H45</f>
        <v>-1342114.5743387148</v>
      </c>
      <c r="K45" s="56"/>
      <c r="L45" s="57">
        <v>3.8416666666666668E-3</v>
      </c>
      <c r="M45" s="59"/>
      <c r="N45" s="55">
        <f t="shared" si="8"/>
        <v>-5155.9568230845634</v>
      </c>
      <c r="O45" s="55"/>
      <c r="P45" s="55"/>
      <c r="Q45" s="55"/>
      <c r="R45" s="55">
        <f>SUM($D$18:D45)+SUM($N$18:N45)</f>
        <v>-1420530.2284996153</v>
      </c>
      <c r="T45" s="21">
        <v>3</v>
      </c>
    </row>
    <row r="46" spans="2:20" ht="15.75">
      <c r="B46" s="54">
        <f t="shared" si="9"/>
        <v>43556</v>
      </c>
      <c r="C46" s="24"/>
      <c r="D46" s="55">
        <v>0</v>
      </c>
      <c r="E46" s="56"/>
      <c r="F46" s="55">
        <f t="shared" si="10"/>
        <v>-1328458.0336976263</v>
      </c>
      <c r="G46" s="55"/>
      <c r="H46" s="55">
        <f>$H$31+SUM($N$29:$N$31)</f>
        <v>-27748.743671644934</v>
      </c>
      <c r="I46" s="55"/>
      <c r="J46" s="55">
        <f>F46+H46</f>
        <v>-1356206.7773692713</v>
      </c>
      <c r="K46" s="56"/>
      <c r="L46" s="57">
        <v>3.8416666666666668E-3</v>
      </c>
      <c r="M46" s="59"/>
      <c r="N46" s="55">
        <f t="shared" si="8"/>
        <v>-5210.0943697269504</v>
      </c>
      <c r="O46" s="55"/>
      <c r="P46" s="55"/>
      <c r="Q46" s="55"/>
      <c r="R46" s="55">
        <f>SUM($D$18:D46)+SUM($N$18:N46)</f>
        <v>-1425740.3228693423</v>
      </c>
      <c r="T46" s="21">
        <v>4</v>
      </c>
    </row>
    <row r="47" spans="2:20" ht="15.75">
      <c r="B47" s="54">
        <f t="shared" si="9"/>
        <v>43586</v>
      </c>
      <c r="C47" s="24"/>
      <c r="D47" s="55">
        <v>0</v>
      </c>
      <c r="E47" s="56"/>
      <c r="F47" s="55">
        <f t="shared" si="10"/>
        <v>-1328458.0336976263</v>
      </c>
      <c r="G47" s="55"/>
      <c r="H47" s="55">
        <f>$H$31+SUM($N$29:$N$31)</f>
        <v>-27748.743671644934</v>
      </c>
      <c r="I47" s="55"/>
      <c r="J47" s="55">
        <f t="shared" ref="J47:J48" si="12">F47+H47</f>
        <v>-1356206.7773692713</v>
      </c>
      <c r="K47" s="56"/>
      <c r="L47" s="57">
        <v>3.8416666666666668E-3</v>
      </c>
      <c r="M47" s="59"/>
      <c r="N47" s="55">
        <f t="shared" si="8"/>
        <v>-5210.0943697269504</v>
      </c>
      <c r="O47" s="55"/>
      <c r="P47" s="55"/>
      <c r="Q47" s="55"/>
      <c r="R47" s="55">
        <f>SUM($D$18:D47)+SUM($N$18:N47)</f>
        <v>-1430950.4172390692</v>
      </c>
      <c r="T47" s="21">
        <v>5</v>
      </c>
    </row>
    <row r="48" spans="2:20" ht="15.75">
      <c r="B48" s="54">
        <f t="shared" si="9"/>
        <v>43617</v>
      </c>
      <c r="C48" s="24"/>
      <c r="D48" s="55">
        <v>0</v>
      </c>
      <c r="E48" s="56"/>
      <c r="F48" s="55">
        <f t="shared" si="10"/>
        <v>-1328458.0336976263</v>
      </c>
      <c r="G48" s="55"/>
      <c r="H48" s="55">
        <f>$H$31+SUM($N$29:$N$31)</f>
        <v>-27748.743671644934</v>
      </c>
      <c r="I48" s="55"/>
      <c r="J48" s="55">
        <f t="shared" si="12"/>
        <v>-1356206.7773692713</v>
      </c>
      <c r="K48" s="56"/>
      <c r="L48" s="57">
        <v>3.8416666666666668E-3</v>
      </c>
      <c r="M48" s="59"/>
      <c r="N48" s="55">
        <f t="shared" si="8"/>
        <v>-5210.0943697269504</v>
      </c>
      <c r="O48" s="55"/>
      <c r="P48" s="55"/>
      <c r="Q48" s="55"/>
      <c r="R48" s="55">
        <f>SUM($D$18:D48)+SUM($N$18:N48)</f>
        <v>-1436160.5116087962</v>
      </c>
      <c r="T48" s="21">
        <v>6</v>
      </c>
    </row>
    <row r="49" spans="2:20" ht="15.75">
      <c r="B49" s="54">
        <f t="shared" si="9"/>
        <v>43647</v>
      </c>
      <c r="C49" s="24"/>
      <c r="D49" s="55">
        <v>0</v>
      </c>
      <c r="E49" s="56"/>
      <c r="F49" s="55">
        <f t="shared" si="10"/>
        <v>-1328458.0336976263</v>
      </c>
      <c r="G49" s="55"/>
      <c r="H49" s="55">
        <f>$H$34+SUM($N$32:$N$34)</f>
        <v>-42938.259578180776</v>
      </c>
      <c r="I49" s="55"/>
      <c r="J49" s="55">
        <f>F49+H49</f>
        <v>-1371396.2932758071</v>
      </c>
      <c r="K49" s="56"/>
      <c r="L49" s="57">
        <v>3.8416666666666668E-3</v>
      </c>
      <c r="M49" s="59"/>
      <c r="N49" s="55">
        <f t="shared" si="8"/>
        <v>-5268.4474266678926</v>
      </c>
      <c r="O49" s="55"/>
      <c r="P49" s="55"/>
      <c r="Q49" s="55"/>
      <c r="R49" s="55">
        <f>SUM($D$18:D49)+SUM($N$18:N49)</f>
        <v>-1441428.9590354641</v>
      </c>
      <c r="T49" s="21">
        <v>7</v>
      </c>
    </row>
    <row r="50" spans="2:20" ht="15.75">
      <c r="B50" s="54">
        <f t="shared" si="9"/>
        <v>43678</v>
      </c>
      <c r="C50" s="24"/>
      <c r="D50" s="55">
        <v>0</v>
      </c>
      <c r="E50" s="56"/>
      <c r="F50" s="55">
        <f t="shared" si="10"/>
        <v>-1328458.0336976263</v>
      </c>
      <c r="G50" s="55"/>
      <c r="H50" s="55">
        <f>$H$34+SUM($N$32:$N$34)</f>
        <v>-42938.259578180776</v>
      </c>
      <c r="I50" s="55"/>
      <c r="J50" s="55">
        <f t="shared" ref="J50:J51" si="13">F50+H50</f>
        <v>-1371396.2932758071</v>
      </c>
      <c r="K50" s="56"/>
      <c r="L50" s="57">
        <v>3.8416666666666668E-3</v>
      </c>
      <c r="M50" s="59"/>
      <c r="N50" s="55">
        <f t="shared" si="8"/>
        <v>-5268.4474266678926</v>
      </c>
      <c r="O50" s="55"/>
      <c r="P50" s="55"/>
      <c r="Q50" s="55"/>
      <c r="R50" s="55">
        <f>SUM($D$18:D50)+SUM($N$18:N50)</f>
        <v>-1446697.406462132</v>
      </c>
      <c r="T50" s="21">
        <v>8</v>
      </c>
    </row>
    <row r="51" spans="2:20" ht="15.75">
      <c r="B51" s="54">
        <f t="shared" si="9"/>
        <v>43709</v>
      </c>
      <c r="C51" s="24"/>
      <c r="D51" s="55">
        <v>0</v>
      </c>
      <c r="E51" s="56"/>
      <c r="F51" s="55">
        <f t="shared" si="10"/>
        <v>-1328458.0336976263</v>
      </c>
      <c r="G51" s="55"/>
      <c r="H51" s="55">
        <f>$H$34+SUM($N$32:$N$34)</f>
        <v>-42938.259578180776</v>
      </c>
      <c r="I51" s="55"/>
      <c r="J51" s="55">
        <f t="shared" si="13"/>
        <v>-1371396.2932758071</v>
      </c>
      <c r="K51" s="56"/>
      <c r="L51" s="57">
        <v>3.8416666666666668E-3</v>
      </c>
      <c r="M51" s="59"/>
      <c r="N51" s="55">
        <f t="shared" si="8"/>
        <v>-5268.4474266678926</v>
      </c>
      <c r="O51" s="55"/>
      <c r="P51" s="55"/>
      <c r="Q51" s="55"/>
      <c r="R51" s="55">
        <f>SUM($D$18:D51)+SUM($N$18:N51)</f>
        <v>-1451965.8538887999</v>
      </c>
      <c r="T51" s="21">
        <v>9</v>
      </c>
    </row>
    <row r="52" spans="2:20" ht="15.75">
      <c r="B52" s="54">
        <f t="shared" si="9"/>
        <v>43739</v>
      </c>
      <c r="C52" s="24"/>
      <c r="D52" s="55">
        <v>0</v>
      </c>
      <c r="E52" s="56"/>
      <c r="F52" s="55">
        <f t="shared" si="10"/>
        <v>-1328458.0336976263</v>
      </c>
      <c r="G52" s="55"/>
      <c r="H52" s="55">
        <f>$H$37+SUM($N$35:$N$37)</f>
        <v>-59257.875468162878</v>
      </c>
      <c r="I52" s="55"/>
      <c r="J52" s="55">
        <f>F52+H52</f>
        <v>-1387715.9091657891</v>
      </c>
      <c r="K52" s="56"/>
      <c r="L52" s="57">
        <v>3.8416666666666668E-3</v>
      </c>
      <c r="M52" s="59"/>
      <c r="N52" s="55">
        <f t="shared" si="8"/>
        <v>-5331.1419510452406</v>
      </c>
      <c r="O52" s="55"/>
      <c r="P52" s="55"/>
      <c r="Q52" s="55"/>
      <c r="R52" s="55">
        <f>SUM($D$18:D52)+SUM($N$18:N52)</f>
        <v>-1457296.9958398449</v>
      </c>
      <c r="T52" s="21">
        <v>10</v>
      </c>
    </row>
    <row r="53" spans="2:20" ht="15.75">
      <c r="B53" s="54">
        <f t="shared" si="9"/>
        <v>43770</v>
      </c>
      <c r="C53" s="24"/>
      <c r="D53" s="55">
        <v>0</v>
      </c>
      <c r="E53" s="56"/>
      <c r="F53" s="55">
        <f t="shared" si="10"/>
        <v>-1328458.0336976263</v>
      </c>
      <c r="G53" s="55"/>
      <c r="H53" s="55">
        <f>$H$37+SUM($N$35:$N$37)</f>
        <v>-59257.875468162878</v>
      </c>
      <c r="I53" s="55"/>
      <c r="J53" s="55">
        <f>F53+H53</f>
        <v>-1387715.9091657891</v>
      </c>
      <c r="K53" s="56"/>
      <c r="L53" s="57">
        <v>3.8416666666666668E-3</v>
      </c>
      <c r="M53" s="59"/>
      <c r="N53" s="55">
        <f t="shared" si="8"/>
        <v>-5331.1419510452406</v>
      </c>
      <c r="O53" s="55"/>
      <c r="P53" s="55"/>
      <c r="Q53" s="55"/>
      <c r="R53" s="55">
        <f>SUM($D$18:D53)+SUM($N$18:N53)</f>
        <v>-1462628.1377908902</v>
      </c>
      <c r="T53" s="21">
        <v>11</v>
      </c>
    </row>
    <row r="54" spans="2:20" ht="15.75">
      <c r="B54" s="54">
        <f t="shared" si="9"/>
        <v>43800</v>
      </c>
      <c r="C54" s="24"/>
      <c r="D54" s="55">
        <v>0</v>
      </c>
      <c r="E54" s="56"/>
      <c r="F54" s="55">
        <f>D53+F53</f>
        <v>-1328458.0336976263</v>
      </c>
      <c r="G54" s="55"/>
      <c r="H54" s="55">
        <f>$H$37+SUM($N$35:$N$37)</f>
        <v>-59257.875468162878</v>
      </c>
      <c r="I54" s="55"/>
      <c r="J54" s="55">
        <f>F54+H54</f>
        <v>-1387715.9091657891</v>
      </c>
      <c r="K54" s="56"/>
      <c r="L54" s="57">
        <v>3.8416666666666668E-3</v>
      </c>
      <c r="M54" s="59"/>
      <c r="N54" s="55">
        <f t="shared" si="8"/>
        <v>-5331.1419510452406</v>
      </c>
      <c r="O54" s="60"/>
      <c r="P54" s="55"/>
      <c r="Q54" s="55"/>
      <c r="R54" s="55">
        <f>SUM($D$18:D54)+SUM($N$18:N54)</f>
        <v>-1467959.2797419354</v>
      </c>
      <c r="T54" s="21">
        <v>12</v>
      </c>
    </row>
    <row r="55" spans="2:20" ht="15.75">
      <c r="B55" s="24"/>
      <c r="C55" s="24"/>
      <c r="D55" s="55"/>
      <c r="E55" s="37"/>
      <c r="F55" s="55"/>
      <c r="G55" s="55"/>
      <c r="H55" s="55"/>
      <c r="I55" s="55"/>
      <c r="J55" s="55"/>
      <c r="K55" s="37"/>
      <c r="L55" s="38"/>
      <c r="M55" s="24"/>
      <c r="N55" s="65"/>
      <c r="O55" s="65"/>
      <c r="P55" s="55"/>
      <c r="Q55" s="55"/>
      <c r="R55" s="55"/>
      <c r="T55" s="66"/>
    </row>
    <row r="56" spans="2:20" ht="15.75">
      <c r="B56" s="67" t="s">
        <v>30</v>
      </c>
      <c r="C56" s="24"/>
      <c r="D56" s="55"/>
      <c r="E56" s="56"/>
      <c r="F56" s="55"/>
      <c r="G56" s="55"/>
      <c r="H56" s="55"/>
      <c r="I56" s="55"/>
      <c r="J56" s="55"/>
      <c r="K56" s="56"/>
      <c r="L56" s="38"/>
      <c r="M56" s="24"/>
      <c r="N56" s="68"/>
      <c r="O56" s="68"/>
      <c r="P56" s="55"/>
      <c r="Q56" s="55"/>
      <c r="R56" s="55"/>
    </row>
    <row r="57" spans="2:20" ht="15.75">
      <c r="B57" s="69" t="s">
        <v>31</v>
      </c>
      <c r="C57" s="24"/>
      <c r="D57" s="55"/>
      <c r="E57" s="56"/>
      <c r="F57" s="55"/>
      <c r="G57" s="55"/>
      <c r="H57" s="55"/>
      <c r="I57" s="55"/>
      <c r="J57" s="55"/>
      <c r="K57" s="56"/>
      <c r="L57" s="38"/>
      <c r="M57" s="24"/>
      <c r="N57" s="68"/>
      <c r="O57" s="68"/>
      <c r="P57" s="55"/>
      <c r="Q57" s="55"/>
      <c r="R57" s="55"/>
    </row>
    <row r="58" spans="2:20" ht="15.75">
      <c r="B58" s="54">
        <f t="shared" ref="B58:B69" si="14">DATE($J$11,T58,1)</f>
        <v>43831</v>
      </c>
      <c r="C58" s="24"/>
      <c r="D58" s="55">
        <v>0</v>
      </c>
      <c r="E58" s="70"/>
      <c r="F58" s="55">
        <f>D40+F40</f>
        <v>-1328458.0336976263</v>
      </c>
      <c r="G58" s="63"/>
      <c r="H58" s="55">
        <f>$H$40+SUM($N$38:$N$40)</f>
        <v>-76604.324332735239</v>
      </c>
      <c r="I58" s="55"/>
      <c r="J58" s="55">
        <f>F58+H58</f>
        <v>-1405062.3580303616</v>
      </c>
      <c r="K58" s="37"/>
      <c r="L58" s="57">
        <v>3.8416666666666668E-3</v>
      </c>
      <c r="M58" s="24"/>
      <c r="N58" s="55">
        <f t="shared" ref="N58:N69" si="15">J58*L58</f>
        <v>-5397.7812254333057</v>
      </c>
      <c r="O58" s="55"/>
      <c r="P58" s="55">
        <f>PMT(L58,12,$R$40)</f>
        <v>120032.88028864141</v>
      </c>
      <c r="Q58" s="55"/>
      <c r="R58" s="55">
        <f>SUM($D$18:D58)+SUM($N$18:N58)+SUM($P$58:P58)</f>
        <v>-1353324.1806787273</v>
      </c>
      <c r="T58" s="21">
        <v>1</v>
      </c>
    </row>
    <row r="59" spans="2:20" ht="15.75">
      <c r="B59" s="54">
        <f t="shared" si="14"/>
        <v>43862</v>
      </c>
      <c r="C59" s="24"/>
      <c r="D59" s="55">
        <v>0</v>
      </c>
      <c r="E59" s="37"/>
      <c r="F59" s="55">
        <f>D58+F58</f>
        <v>-1328458.0336976263</v>
      </c>
      <c r="G59" s="55"/>
      <c r="H59" s="55">
        <f>$H$40+SUM($N$38:$N$40)</f>
        <v>-76604.324332735239</v>
      </c>
      <c r="I59" s="55"/>
      <c r="J59" s="55">
        <f>R58</f>
        <v>-1353324.1806787273</v>
      </c>
      <c r="K59" s="37"/>
      <c r="L59" s="57">
        <v>3.8416666666666668E-3</v>
      </c>
      <c r="M59" s="24"/>
      <c r="N59" s="55">
        <f t="shared" si="15"/>
        <v>-5199.0203941074442</v>
      </c>
      <c r="O59" s="55"/>
      <c r="P59" s="55">
        <f t="shared" ref="P59:P69" si="16">PMT(L59,12,$R$40)</f>
        <v>120032.88028864141</v>
      </c>
      <c r="Q59" s="55"/>
      <c r="R59" s="55">
        <f>SUM($D$18:D59)+SUM($N$18:N59)+SUM($P$58:P59)</f>
        <v>-1238490.3207841935</v>
      </c>
      <c r="T59" s="21">
        <v>2</v>
      </c>
    </row>
    <row r="60" spans="2:20" ht="15.75">
      <c r="B60" s="54">
        <f t="shared" si="14"/>
        <v>43891</v>
      </c>
      <c r="C60" s="24"/>
      <c r="D60" s="55">
        <v>0</v>
      </c>
      <c r="E60" s="37"/>
      <c r="F60" s="55">
        <f t="shared" ref="F60:F68" si="17">D59+F59</f>
        <v>-1328458.0336976263</v>
      </c>
      <c r="G60" s="55"/>
      <c r="H60" s="55">
        <f>$H$40+SUM($N$38:$N$40)</f>
        <v>-76604.324332735239</v>
      </c>
      <c r="I60" s="55"/>
      <c r="J60" s="55">
        <f t="shared" ref="J60:J69" si="18">R59</f>
        <v>-1238490.3207841935</v>
      </c>
      <c r="K60" s="37"/>
      <c r="L60" s="57">
        <v>3.8416666666666668E-3</v>
      </c>
      <c r="M60" s="24"/>
      <c r="N60" s="55">
        <f t="shared" si="15"/>
        <v>-4757.8669823459431</v>
      </c>
      <c r="O60" s="55"/>
      <c r="P60" s="55">
        <f t="shared" si="16"/>
        <v>120032.88028864141</v>
      </c>
      <c r="Q60" s="55"/>
      <c r="R60" s="55">
        <f>SUM($D$18:D60)+SUM($N$18:N60)+SUM($P$58:P60)</f>
        <v>-1123215.307477898</v>
      </c>
      <c r="T60" s="21">
        <v>3</v>
      </c>
    </row>
    <row r="61" spans="2:20" ht="15.75">
      <c r="B61" s="54">
        <f t="shared" si="14"/>
        <v>43922</v>
      </c>
      <c r="C61" s="24"/>
      <c r="D61" s="55">
        <v>0</v>
      </c>
      <c r="E61" s="37"/>
      <c r="F61" s="55">
        <f t="shared" si="17"/>
        <v>-1328458.0336976263</v>
      </c>
      <c r="G61" s="55"/>
      <c r="H61" s="55">
        <f>$H$60+SUM($N$58:$N$60)</f>
        <v>-91958.992934621929</v>
      </c>
      <c r="I61" s="55"/>
      <c r="J61" s="55">
        <f t="shared" si="18"/>
        <v>-1123215.307477898</v>
      </c>
      <c r="K61" s="37"/>
      <c r="L61" s="57">
        <v>3.8416666666666668E-3</v>
      </c>
      <c r="M61" s="24"/>
      <c r="N61" s="55">
        <f t="shared" si="15"/>
        <v>-4315.018806227592</v>
      </c>
      <c r="O61" s="55"/>
      <c r="P61" s="55">
        <f t="shared" si="16"/>
        <v>120032.88028864141</v>
      </c>
      <c r="Q61" s="55"/>
      <c r="R61" s="55">
        <f>SUM($D$18:D61)+SUM($N$18:N61)+SUM($P$58:P61)</f>
        <v>-1007497.4459954841</v>
      </c>
      <c r="T61" s="21">
        <v>4</v>
      </c>
    </row>
    <row r="62" spans="2:20" ht="15.75">
      <c r="B62" s="54">
        <f t="shared" si="14"/>
        <v>43952</v>
      </c>
      <c r="C62" s="24"/>
      <c r="D62" s="55">
        <v>0</v>
      </c>
      <c r="E62" s="37"/>
      <c r="F62" s="55">
        <f t="shared" si="17"/>
        <v>-1328458.0336976263</v>
      </c>
      <c r="G62" s="55"/>
      <c r="H62" s="55">
        <f>$H$60+SUM($N$58:$N$60)</f>
        <v>-91958.992934621929</v>
      </c>
      <c r="I62" s="55"/>
      <c r="J62" s="55">
        <f t="shared" si="18"/>
        <v>-1007497.4459954841</v>
      </c>
      <c r="K62" s="37"/>
      <c r="L62" s="57">
        <v>3.8416666666666668E-3</v>
      </c>
      <c r="M62" s="24"/>
      <c r="N62" s="55">
        <f t="shared" si="15"/>
        <v>-3870.4693550326515</v>
      </c>
      <c r="O62" s="55"/>
      <c r="P62" s="55">
        <f t="shared" si="16"/>
        <v>120032.88028864141</v>
      </c>
      <c r="Q62" s="55"/>
      <c r="R62" s="55">
        <f>SUM($D$18:D62)+SUM($N$18:N62)+SUM($P$58:P62)</f>
        <v>-891335.03506187547</v>
      </c>
      <c r="T62" s="21">
        <v>5</v>
      </c>
    </row>
    <row r="63" spans="2:20" ht="15.75">
      <c r="B63" s="54">
        <f t="shared" si="14"/>
        <v>43983</v>
      </c>
      <c r="C63" s="27"/>
      <c r="D63" s="55">
        <v>0</v>
      </c>
      <c r="E63" s="37"/>
      <c r="F63" s="55">
        <f t="shared" si="17"/>
        <v>-1328458.0336976263</v>
      </c>
      <c r="G63" s="55"/>
      <c r="H63" s="55">
        <f>$H$60+SUM($N$58:$N$60)</f>
        <v>-91958.992934621929</v>
      </c>
      <c r="I63" s="55"/>
      <c r="J63" s="55">
        <f t="shared" si="18"/>
        <v>-891335.03506187547</v>
      </c>
      <c r="K63" s="37"/>
      <c r="L63" s="57">
        <v>3.8416666666666668E-3</v>
      </c>
      <c r="M63" s="24"/>
      <c r="N63" s="55">
        <f t="shared" si="15"/>
        <v>-3424.2120930293718</v>
      </c>
      <c r="O63" s="55"/>
      <c r="P63" s="55">
        <f t="shared" si="16"/>
        <v>120032.88028864141</v>
      </c>
      <c r="Q63" s="55"/>
      <c r="R63" s="55">
        <f>SUM($D$18:D63)+SUM($N$18:N63)+SUM($P$58:P63)</f>
        <v>-774726.36686626344</v>
      </c>
      <c r="T63" s="21">
        <v>6</v>
      </c>
    </row>
    <row r="64" spans="2:20" ht="15.75">
      <c r="B64" s="54">
        <f t="shared" si="14"/>
        <v>44013</v>
      </c>
      <c r="C64" s="24"/>
      <c r="D64" s="55">
        <v>0</v>
      </c>
      <c r="E64" s="37"/>
      <c r="F64" s="55">
        <f t="shared" si="17"/>
        <v>-1328458.0336976263</v>
      </c>
      <c r="G64" s="55"/>
      <c r="H64" s="55">
        <f>$H$63+SUM($N$61:$N$63)</f>
        <v>-103568.69318891154</v>
      </c>
      <c r="I64" s="55"/>
      <c r="J64" s="55">
        <f t="shared" si="18"/>
        <v>-774726.36686626344</v>
      </c>
      <c r="K64" s="37"/>
      <c r="L64" s="57">
        <v>3.8416666666666668E-3</v>
      </c>
      <c r="M64" s="24"/>
      <c r="N64" s="55">
        <f t="shared" si="15"/>
        <v>-2976.2404593778956</v>
      </c>
      <c r="O64" s="55"/>
      <c r="P64" s="55">
        <f t="shared" si="16"/>
        <v>120032.88028864141</v>
      </c>
      <c r="Q64" s="55"/>
      <c r="R64" s="55">
        <f>SUM($D$18:D64)+SUM($N$18:N64)+SUM($P$58:P64)</f>
        <v>-657669.72703699989</v>
      </c>
      <c r="T64" s="21">
        <v>7</v>
      </c>
    </row>
    <row r="65" spans="2:20" ht="15.75">
      <c r="B65" s="54">
        <f t="shared" si="14"/>
        <v>44044</v>
      </c>
      <c r="C65" s="24"/>
      <c r="D65" s="55">
        <v>0</v>
      </c>
      <c r="E65" s="37"/>
      <c r="F65" s="55">
        <f t="shared" si="17"/>
        <v>-1328458.0336976263</v>
      </c>
      <c r="G65" s="55"/>
      <c r="H65" s="55">
        <f>$H$63+SUM($N$61:$N$63)</f>
        <v>-103568.69318891154</v>
      </c>
      <c r="I65" s="55"/>
      <c r="J65" s="55">
        <f t="shared" si="18"/>
        <v>-657669.72703699989</v>
      </c>
      <c r="K65" s="37"/>
      <c r="L65" s="57">
        <v>3.8416666666666668E-3</v>
      </c>
      <c r="M65" s="24"/>
      <c r="N65" s="55">
        <f t="shared" si="15"/>
        <v>-2526.5478680338078</v>
      </c>
      <c r="O65" s="55"/>
      <c r="P65" s="55">
        <f t="shared" si="16"/>
        <v>120032.88028864141</v>
      </c>
      <c r="Q65" s="55"/>
      <c r="R65" s="55">
        <f>SUM($D$18:D65)+SUM($N$18:N65)+SUM($P$58:P65)</f>
        <v>-540163.39461639209</v>
      </c>
      <c r="T65" s="21">
        <v>8</v>
      </c>
    </row>
    <row r="66" spans="2:20" ht="15.75">
      <c r="B66" s="54">
        <f t="shared" si="14"/>
        <v>44075</v>
      </c>
      <c r="C66" s="24"/>
      <c r="D66" s="55">
        <v>0</v>
      </c>
      <c r="E66" s="37"/>
      <c r="F66" s="55">
        <f t="shared" si="17"/>
        <v>-1328458.0336976263</v>
      </c>
      <c r="G66" s="55"/>
      <c r="H66" s="55">
        <f>$H$63+SUM($N$61:$N$63)</f>
        <v>-103568.69318891154</v>
      </c>
      <c r="I66" s="55"/>
      <c r="J66" s="55">
        <f t="shared" si="18"/>
        <v>-540163.39461639209</v>
      </c>
      <c r="K66" s="37"/>
      <c r="L66" s="57">
        <v>3.8416666666666668E-3</v>
      </c>
      <c r="M66" s="24"/>
      <c r="N66" s="55">
        <f t="shared" si="15"/>
        <v>-2075.1277076513065</v>
      </c>
      <c r="O66" s="55"/>
      <c r="P66" s="55">
        <f t="shared" si="16"/>
        <v>120032.88028864141</v>
      </c>
      <c r="Q66" s="55"/>
      <c r="R66" s="55">
        <f>SUM($D$18:D66)+SUM($N$18:N66)+SUM($P$58:P66)</f>
        <v>-422205.64203540212</v>
      </c>
      <c r="T66" s="21">
        <v>9</v>
      </c>
    </row>
    <row r="67" spans="2:20" ht="15.75">
      <c r="B67" s="54">
        <f t="shared" si="14"/>
        <v>44105</v>
      </c>
      <c r="C67" s="24"/>
      <c r="D67" s="55">
        <v>0</v>
      </c>
      <c r="E67" s="37"/>
      <c r="F67" s="55">
        <f t="shared" si="17"/>
        <v>-1328458.0336976263</v>
      </c>
      <c r="G67" s="55"/>
      <c r="H67" s="55">
        <f>$H$66+SUM($N$64:$N$66)</f>
        <v>-111146.60922397455</v>
      </c>
      <c r="I67" s="55"/>
      <c r="J67" s="55">
        <f t="shared" si="18"/>
        <v>-422205.64203540212</v>
      </c>
      <c r="K67" s="37"/>
      <c r="L67" s="57">
        <v>3.8416666666666668E-3</v>
      </c>
      <c r="M67" s="24"/>
      <c r="N67" s="55">
        <f t="shared" si="15"/>
        <v>-1621.9733414860032</v>
      </c>
      <c r="O67" s="55"/>
      <c r="P67" s="55">
        <f t="shared" si="16"/>
        <v>120032.88028864141</v>
      </c>
      <c r="Q67" s="55"/>
      <c r="R67" s="55">
        <f>SUM($D$18:D67)+SUM($N$18:N67)+SUM($P$58:P67)</f>
        <v>-303794.73508824664</v>
      </c>
      <c r="T67" s="21">
        <v>10</v>
      </c>
    </row>
    <row r="68" spans="2:20" ht="15.75">
      <c r="B68" s="54">
        <f t="shared" si="14"/>
        <v>44136</v>
      </c>
      <c r="C68" s="24"/>
      <c r="D68" s="55">
        <v>0</v>
      </c>
      <c r="E68" s="37"/>
      <c r="F68" s="55">
        <f t="shared" si="17"/>
        <v>-1328458.0336976263</v>
      </c>
      <c r="G68" s="55"/>
      <c r="H68" s="55">
        <f>$H$66+SUM($N$64:$N$66)</f>
        <v>-111146.60922397455</v>
      </c>
      <c r="I68" s="55"/>
      <c r="J68" s="55">
        <f t="shared" si="18"/>
        <v>-303794.73508824664</v>
      </c>
      <c r="K68" s="37"/>
      <c r="L68" s="57">
        <v>3.8416666666666668E-3</v>
      </c>
      <c r="M68" s="24"/>
      <c r="N68" s="55">
        <f t="shared" si="15"/>
        <v>-1167.0781072973475</v>
      </c>
      <c r="O68" s="55"/>
      <c r="P68" s="55">
        <f t="shared" si="16"/>
        <v>120032.88028864141</v>
      </c>
      <c r="Q68" s="55"/>
      <c r="R68" s="55">
        <f>SUM($D$18:D68)+SUM($N$18:N68)+SUM($P$58:P68)</f>
        <v>-184928.93290690263</v>
      </c>
      <c r="S68" s="71"/>
      <c r="T68" s="21">
        <v>11</v>
      </c>
    </row>
    <row r="69" spans="2:20" ht="16.5" thickBot="1">
      <c r="B69" s="72">
        <f t="shared" si="14"/>
        <v>44166</v>
      </c>
      <c r="C69" s="73"/>
      <c r="D69" s="74">
        <v>0</v>
      </c>
      <c r="E69" s="41"/>
      <c r="F69" s="74">
        <f>D68+F68</f>
        <v>-1328458.0336976263</v>
      </c>
      <c r="G69" s="74"/>
      <c r="H69" s="74">
        <f>$H$66+SUM($N$64:$N$66)</f>
        <v>-111146.60922397455</v>
      </c>
      <c r="I69" s="74"/>
      <c r="J69" s="74">
        <f t="shared" si="18"/>
        <v>-184928.93290690263</v>
      </c>
      <c r="K69" s="41"/>
      <c r="L69" s="75">
        <v>3.8416666666666668E-3</v>
      </c>
      <c r="M69" s="73"/>
      <c r="N69" s="74">
        <f t="shared" si="15"/>
        <v>-710.43531725068431</v>
      </c>
      <c r="O69" s="74"/>
      <c r="P69" s="74">
        <f t="shared" si="16"/>
        <v>120032.88028864141</v>
      </c>
      <c r="Q69" s="74"/>
      <c r="R69" s="74">
        <f>SUM($D$18:D69)+SUM($N$18:N69)+SUM($P$58:P69)</f>
        <v>-65606.487935511861</v>
      </c>
      <c r="T69" s="21">
        <v>12</v>
      </c>
    </row>
    <row r="70" spans="2:20" ht="15.75">
      <c r="B70" s="24"/>
      <c r="C70" s="24"/>
      <c r="D70" s="37"/>
      <c r="E70" s="37"/>
      <c r="F70" s="37"/>
      <c r="G70" s="37"/>
      <c r="H70" s="37"/>
      <c r="I70" s="37"/>
      <c r="J70" s="37"/>
      <c r="K70" s="37"/>
      <c r="L70" s="24"/>
      <c r="M70" s="24"/>
      <c r="N70" s="55"/>
      <c r="O70" s="55"/>
      <c r="P70" s="55"/>
      <c r="Q70" s="55"/>
      <c r="R70" s="55"/>
    </row>
    <row r="71" spans="2:20" ht="15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64"/>
      <c r="O71" s="64"/>
      <c r="P71" s="64"/>
      <c r="Q71" s="64"/>
      <c r="R71" s="64"/>
    </row>
    <row r="72" spans="2:20" ht="15.75">
      <c r="B72" s="77" t="s">
        <v>32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  <c r="O72" s="79"/>
      <c r="P72" s="80">
        <f>(SUM(P58:P69)*-1)</f>
        <v>-1440394.563463697</v>
      </c>
      <c r="Q72" s="64"/>
      <c r="R72" s="64"/>
    </row>
    <row r="73" spans="2:20" ht="15.75">
      <c r="B73" s="81" t="s">
        <v>33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3"/>
      <c r="O73" s="83"/>
      <c r="P73" s="84">
        <f>+F10</f>
        <v>-1328458.0336976263</v>
      </c>
      <c r="Q73" s="64"/>
      <c r="R73" s="64"/>
    </row>
    <row r="74" spans="2:20" ht="15.75">
      <c r="B74" s="85" t="s">
        <v>34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7"/>
      <c r="O74" s="87"/>
      <c r="P74" s="88">
        <f>+(P72-P73)</f>
        <v>-111936.52976607066</v>
      </c>
      <c r="Q74" s="64"/>
      <c r="R74" s="64"/>
    </row>
    <row r="75" spans="2:20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</row>
    <row r="76" spans="2:20" ht="15.75" customHeight="1">
      <c r="B76" s="103" t="s">
        <v>35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90"/>
      <c r="R76" s="90"/>
    </row>
    <row r="77" spans="2:20" ht="12.75" customHeight="1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89"/>
      <c r="R77" s="89"/>
    </row>
    <row r="78" spans="2:20" ht="38.25" customHeight="1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91"/>
      <c r="R78" s="91"/>
    </row>
    <row r="80" spans="2:20" ht="22.5" customHeight="1">
      <c r="B80" s="104" t="s">
        <v>36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</row>
    <row r="83" spans="2:2" ht="15.75">
      <c r="B83" s="50"/>
    </row>
  </sheetData>
  <mergeCells count="5">
    <mergeCell ref="B4:R4"/>
    <mergeCell ref="B5:R5"/>
    <mergeCell ref="B6:R6"/>
    <mergeCell ref="B76:P78"/>
    <mergeCell ref="B80:P80"/>
  </mergeCells>
  <pageMargins left="0.45" right="0.2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8F2FF5BB-5298-48E4-AC1E-055C66F43D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SWEPCO Base Plan Refund</vt:lpstr>
      <vt:lpstr>2017 Refund</vt:lpstr>
      <vt:lpstr>2017 Interest Calculation</vt:lpstr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s177040</dc:creator>
  <cp:lastModifiedBy>s177040</cp:lastModifiedBy>
  <cp:lastPrinted>2019-05-28T15:29:22Z</cp:lastPrinted>
  <dcterms:created xsi:type="dcterms:W3CDTF">2019-05-22T14:00:06Z</dcterms:created>
  <dcterms:modified xsi:type="dcterms:W3CDTF">2019-05-28T15:29:33Z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f179aa6c-cdce-4d79-8ba9-dc8ccbdefb08</vt:lpwstr>
  </property>
  <property fmtid="{D5CDD505-2E9C-101B-9397-08002B2CF9AE}" pid="3" name="bjDocumentSecurityLabel">
    <vt:lpwstr>Uncategorized</vt:lpwstr>
  </property>
  <property fmtid="{D5CDD505-2E9C-101B-9397-08002B2CF9AE}" pid="4" name="bjSaver">
    <vt:lpwstr>clRxCTTKA7z930TtRLwKph96GxWYXtbn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